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(no)'!$C$264:$AK$308</definedName>
    <definedName name="_xlnm.Print_Area" localSheetId="2">'PRODUCCIÓN DE HC'!$A$2:$M$83</definedName>
    <definedName name="_xlnm.Print_Titles" localSheetId="0">'ESTRUCTURA oil (no)'!$5:$7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<sst xmlns="http://schemas.openxmlformats.org/spreadsheetml/2006/main" count="81" uniqueCount="70">
  <si>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</si>
  <si>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</si>
  <si>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</si>
  <si>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</si>
  <si>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</si>
  <si>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</si>
  <si>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</si>
  <si>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</si>
  <si>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</si>
  <si>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</si>
  <si>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</si>
  <si>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</si>
  <si>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</si>
  <si>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</si>
  <si>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</si>
  <si>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</si>
  <si>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</si>
  <si>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</si>
  <si>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</si>
  <si>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</si>
  <si>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</si>
  <si>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</si>
  <si>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</si>
  <si>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</si>
  <si>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</si>
  <si>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</si>
  <si>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</si>
  <si>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</si>
  <si>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</si>
  <si>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</si>
  <si>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</si>
  <si>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</si>
  <si>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</si>
  <si>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</si>
  <si>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</si>
  <si>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</si>
  <si>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</si>
  <si>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</si>
  <si>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</si>
  <si>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</si>
  <si>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</si>
  <si>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</si>
  <si>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</si>
  <si>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</si>
  <si>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</si>
  <si>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</si>
  <si>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</si>
  <si>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</si>
  <si>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</si>
  <si>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</si>
  <si>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</si>
  <si>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</si>
  <si>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</si>
  <si>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</si>
  <si>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</si>
  <si>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</si>
  <si>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</si>
  <si>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</si>
  <si>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</si>
  <si>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</si>
  <si>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</si>
  <si>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</si>
  <si>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</si>
  <si>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</si>
  <si>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</si>
  <si>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</si>
  <si>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*Incluye petróleo y condensandos más Líquidos de Gas Natural (LGN).</t>
  </si>
  <si>
    <t>PRODUCCIÓN FISCALIZADA PROMEDIO DE HIDROCARBUROS
AL 31 DE JULIO DEL 2019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</si>
  <si>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julio 2019 fue de 132,067 Bpd; inferior en 4,905  Bpd comparado al mes anterior.   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</si>
  <si>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julio 2019 fue de 1,341 MMPCD; superior en 219 MMPCD comparado al mes anterior.</t>
    </r>
  </si>
</sst>
</file>

<file path=xl/styles.xml><?xml version="1.0" encoding="utf-8"?>
<styleSheet xmlns="http://schemas.openxmlformats.org/spreadsheetml/2006/main">
  <numFmts count="4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&quot;S/.&quot;\ * #,##0.00_ ;_ &quot;S/.&quot;\ * \-#,##0.00_ ;_ &quot;S/.&quot;\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-* #,##0\ _S_/_._-;\-* #,##0\ _S_/_._-;_-* &quot;-&quot;\ _S_/_._-;_-@_-"/>
    <numFmt numFmtId="193" formatCode="_-* #,##0.00\ _S_/_._-;\-* #,##0.00\ _S_/_._-;_-* &quot;-&quot;??\ _S_/_._-;_-@_-"/>
    <numFmt numFmtId="194" formatCode="0.000"/>
    <numFmt numFmtId="195" formatCode="0.0"/>
    <numFmt numFmtId="196" formatCode="#,##0.0"/>
    <numFmt numFmtId="197" formatCode="_-* #,##0\ _S_/_._-;\-* #,##0\ _S_/_._-;_-* &quot;-&quot;??\ _S_/_._-;_-@_-"/>
    <numFmt numFmtId="198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6.55"/>
      <color indexed="8"/>
      <name val="Calibri"/>
      <family val="2"/>
    </font>
    <font>
      <sz val="6.55"/>
      <color indexed="60"/>
      <name val="Calibri"/>
      <family val="2"/>
    </font>
    <font>
      <sz val="6.55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6"/>
      <color indexed="6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3"/>
      <name val="Calibri"/>
      <family val="2"/>
    </font>
    <font>
      <b/>
      <u val="single"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301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8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7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97" fontId="0" fillId="0" borderId="0" xfId="47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7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96" fontId="0" fillId="0" borderId="0" xfId="0" applyNumberFormat="1" applyFont="1" applyFill="1" applyAlignment="1">
      <alignment horizontal="center"/>
    </xf>
    <xf numFmtId="196" fontId="0" fillId="0" borderId="0" xfId="0" applyNumberFormat="1" applyAlignment="1">
      <alignment horizontal="center"/>
    </xf>
    <xf numFmtId="196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98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94" fontId="0" fillId="37" borderId="0" xfId="0" applyNumberFormat="1" applyFill="1" applyAlignment="1">
      <alignment/>
    </xf>
    <xf numFmtId="3" fontId="0" fillId="37" borderId="10" xfId="48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95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196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0" fillId="37" borderId="0" xfId="0" applyFont="1" applyFill="1" applyAlignment="1">
      <alignment/>
    </xf>
    <xf numFmtId="0" fontId="41" fillId="37" borderId="0" xfId="0" applyFont="1" applyFill="1" applyAlignment="1">
      <alignment/>
    </xf>
    <xf numFmtId="0" fontId="42" fillId="37" borderId="0" xfId="0" applyFont="1" applyFill="1" applyAlignment="1">
      <alignment/>
    </xf>
    <xf numFmtId="1" fontId="40" fillId="37" borderId="0" xfId="0" applyNumberFormat="1" applyFont="1" applyFill="1" applyAlignment="1">
      <alignment/>
    </xf>
    <xf numFmtId="0" fontId="43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0" fontId="40" fillId="37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/>
    </xf>
    <xf numFmtId="0" fontId="44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3" fontId="40" fillId="37" borderId="0" xfId="0" applyNumberFormat="1" applyFont="1" applyFill="1" applyAlignment="1">
      <alignment/>
    </xf>
    <xf numFmtId="3" fontId="44" fillId="37" borderId="0" xfId="0" applyNumberFormat="1" applyFont="1" applyFill="1" applyAlignment="1">
      <alignment/>
    </xf>
    <xf numFmtId="195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10" xfId="0" applyNumberFormat="1" applyFill="1" applyBorder="1" applyAlignment="1">
      <alignment horizontal="center"/>
    </xf>
    <xf numFmtId="197" fontId="0" fillId="13" borderId="10" xfId="47" applyNumberFormat="1" applyFont="1" applyFill="1" applyBorder="1" applyAlignment="1">
      <alignment/>
    </xf>
    <xf numFmtId="3" fontId="0" fillId="37" borderId="10" xfId="0" applyNumberFormat="1" applyFill="1" applyBorder="1" applyAlignment="1">
      <alignment horizontal="center"/>
    </xf>
    <xf numFmtId="4" fontId="0" fillId="16" borderId="10" xfId="0" applyNumberFormat="1" applyFill="1" applyBorder="1" applyAlignment="1">
      <alignment/>
    </xf>
    <xf numFmtId="0" fontId="0" fillId="16" borderId="10" xfId="0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0" fontId="0" fillId="16" borderId="10" xfId="0" applyFill="1" applyBorder="1" applyAlignment="1">
      <alignment/>
    </xf>
    <xf numFmtId="3" fontId="0" fillId="16" borderId="10" xfId="0" applyNumberFormat="1" applyFill="1" applyBorder="1" applyAlignment="1">
      <alignment/>
    </xf>
    <xf numFmtId="3" fontId="0" fillId="37" borderId="0" xfId="0" applyNumberFormat="1" applyFill="1" applyAlignment="1">
      <alignment horizontal="center"/>
    </xf>
    <xf numFmtId="3" fontId="0" fillId="37" borderId="0" xfId="0" applyNumberFormat="1" applyFont="1" applyFill="1" applyAlignment="1">
      <alignment horizontal="center"/>
    </xf>
    <xf numFmtId="3" fontId="0" fillId="37" borderId="0" xfId="0" applyNumberFormat="1" applyFill="1" applyAlignment="1">
      <alignment horizontal="center" vertical="center"/>
    </xf>
    <xf numFmtId="3" fontId="2" fillId="37" borderId="0" xfId="0" applyNumberFormat="1" applyFont="1" applyFill="1" applyAlignment="1">
      <alignment horizontal="center"/>
    </xf>
    <xf numFmtId="3" fontId="0" fillId="40" borderId="10" xfId="0" applyNumberFormat="1" applyFill="1" applyBorder="1" applyAlignment="1">
      <alignment horizontal="center"/>
    </xf>
    <xf numFmtId="0" fontId="0" fillId="9" borderId="0" xfId="0" applyFill="1" applyAlignment="1">
      <alignment/>
    </xf>
    <xf numFmtId="2" fontId="0" fillId="9" borderId="0" xfId="0" applyNumberFormat="1" applyFill="1" applyAlignment="1">
      <alignment horizontal="center"/>
    </xf>
    <xf numFmtId="17" fontId="2" fillId="9" borderId="10" xfId="0" applyNumberFormat="1" applyFont="1" applyFill="1" applyBorder="1" applyAlignment="1">
      <alignment horizontal="right"/>
    </xf>
    <xf numFmtId="0" fontId="0" fillId="9" borderId="10" xfId="0" applyFill="1" applyBorder="1" applyAlignment="1">
      <alignment/>
    </xf>
    <xf numFmtId="3" fontId="0" fillId="3" borderId="10" xfId="0" applyNumberFormat="1" applyFill="1" applyBorder="1" applyAlignment="1">
      <alignment/>
    </xf>
    <xf numFmtId="3" fontId="0" fillId="3" borderId="10" xfId="0" applyNumberFormat="1" applyFill="1" applyBorder="1" applyAlignment="1">
      <alignment horizontal="center"/>
    </xf>
    <xf numFmtId="3" fontId="0" fillId="3" borderId="0" xfId="0" applyNumberFormat="1" applyFill="1" applyAlignment="1">
      <alignment/>
    </xf>
    <xf numFmtId="3" fontId="0" fillId="3" borderId="32" xfId="0" applyNumberFormat="1" applyFill="1" applyBorder="1" applyAlignment="1">
      <alignment/>
    </xf>
    <xf numFmtId="3" fontId="0" fillId="3" borderId="11" xfId="0" applyNumberFormat="1" applyFill="1" applyBorder="1" applyAlignment="1">
      <alignment horizontal="center"/>
    </xf>
    <xf numFmtId="3" fontId="0" fillId="13" borderId="12" xfId="0" applyNumberFormat="1" applyFill="1" applyBorder="1" applyAlignment="1">
      <alignment horizontal="center"/>
    </xf>
    <xf numFmtId="49" fontId="70" fillId="37" borderId="0" xfId="0" applyNumberFormat="1" applyFont="1" applyFill="1" applyBorder="1" applyAlignment="1">
      <alignment vertical="top"/>
    </xf>
    <xf numFmtId="2" fontId="0" fillId="11" borderId="0" xfId="0" applyNumberFormat="1" applyFill="1" applyAlignment="1">
      <alignment horizontal="center"/>
    </xf>
    <xf numFmtId="17" fontId="2" fillId="11" borderId="10" xfId="0" applyNumberFormat="1" applyFont="1" applyFill="1" applyBorder="1" applyAlignment="1">
      <alignment horizontal="right"/>
    </xf>
    <xf numFmtId="0" fontId="0" fillId="11" borderId="10" xfId="0" applyFill="1" applyBorder="1" applyAlignment="1">
      <alignment/>
    </xf>
    <xf numFmtId="3" fontId="0" fillId="11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3" fontId="0" fillId="11" borderId="0" xfId="0" applyNumberFormat="1" applyFill="1" applyAlignment="1">
      <alignment/>
    </xf>
    <xf numFmtId="2" fontId="0" fillId="11" borderId="0" xfId="0" applyNumberFormat="1" applyFill="1" applyBorder="1" applyAlignment="1">
      <alignment horizontal="center"/>
    </xf>
    <xf numFmtId="17" fontId="0" fillId="11" borderId="10" xfId="0" applyNumberFormat="1" applyFill="1" applyBorder="1" applyAlignment="1">
      <alignment/>
    </xf>
    <xf numFmtId="197" fontId="0" fillId="11" borderId="10" xfId="47" applyNumberFormat="1" applyFont="1" applyFill="1" applyBorder="1" applyAlignment="1">
      <alignment/>
    </xf>
    <xf numFmtId="0" fontId="0" fillId="11" borderId="0" xfId="0" applyFill="1" applyAlignment="1">
      <alignment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3" fontId="0" fillId="37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5" fillId="37" borderId="0" xfId="0" applyFont="1" applyFill="1" applyAlignment="1">
      <alignment horizontal="center" vertical="center" wrapText="1"/>
    </xf>
    <xf numFmtId="0" fontId="71" fillId="41" borderId="0" xfId="0" applyFont="1" applyFill="1" applyBorder="1" applyAlignment="1">
      <alignment horizontal="left" wrapText="1"/>
    </xf>
    <xf numFmtId="0" fontId="40" fillId="41" borderId="0" xfId="0" applyFont="1" applyFill="1" applyBorder="1" applyAlignment="1">
      <alignment horizontal="justify" vertical="center" wrapText="1"/>
    </xf>
    <xf numFmtId="0" fontId="40" fillId="41" borderId="0" xfId="0" applyFont="1" applyFill="1" applyBorder="1" applyAlignment="1">
      <alignment horizontal="left" wrapText="1"/>
    </xf>
    <xf numFmtId="0" fontId="47" fillId="41" borderId="0" xfId="0" applyFont="1" applyFill="1" applyBorder="1" applyAlignment="1">
      <alignment horizontal="left" wrapText="1"/>
    </xf>
    <xf numFmtId="49" fontId="70" fillId="37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027300"/>
        <c:axId val="18245701"/>
      </c:scatterChart>
      <c:valAx>
        <c:axId val="20273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245701"/>
        <c:crosses val="autoZero"/>
        <c:crossBetween val="midCat"/>
        <c:dispUnits/>
      </c:valAx>
      <c:valAx>
        <c:axId val="18245701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27300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9993582"/>
        <c:axId val="1506783"/>
      </c:scatterChart>
      <c:valAx>
        <c:axId val="299935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06783"/>
        <c:crosses val="autoZero"/>
        <c:crossBetween val="midCat"/>
        <c:dispUnits/>
      </c:valAx>
      <c:valAx>
        <c:axId val="1506783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993582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0.020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2925"/>
          <c:w val="0.9185"/>
          <c:h val="0.71925"/>
        </c:manualLayout>
      </c:layout>
      <c:scatterChart>
        <c:scatterStyle val="lineMarker"/>
        <c:varyColors val="0"/>
        <c:ser>
          <c:idx val="2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(no)'!$C$175:$C$314</c:f>
              <c:numCache>
                <c:ptCount val="140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  <c:pt idx="129">
                  <c:v>2018.7499901000147</c:v>
                </c:pt>
                <c:pt idx="130">
                  <c:v>2018.8333234000147</c:v>
                </c:pt>
                <c:pt idx="131">
                  <c:v>2018.9166567000148</c:v>
                </c:pt>
                <c:pt idx="132">
                  <c:v>2018.9999900000148</c:v>
                </c:pt>
                <c:pt idx="133">
                  <c:v>2019.0833233000149</c:v>
                </c:pt>
                <c:pt idx="134">
                  <c:v>2019.166656600015</c:v>
                </c:pt>
                <c:pt idx="135">
                  <c:v>2019.249989900015</c:v>
                </c:pt>
                <c:pt idx="136">
                  <c:v>2019.333323200015</c:v>
                </c:pt>
                <c:pt idx="137">
                  <c:v>2019.416656500015</c:v>
                </c:pt>
                <c:pt idx="138">
                  <c:v>2019.499989800015</c:v>
                </c:pt>
                <c:pt idx="139">
                  <c:v>2019.5833231000151</c:v>
                </c:pt>
              </c:numCache>
            </c:numRef>
          </c:xVal>
          <c:yVal>
            <c:numRef>
              <c:f>'ESTRUCTURA oil (no)'!$AI$175:$AI$314</c:f>
              <c:numCache>
                <c:ptCount val="140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  <c:pt idx="129">
                  <c:v>144198</c:v>
                </c:pt>
                <c:pt idx="130">
                  <c:v>138963</c:v>
                </c:pt>
                <c:pt idx="131">
                  <c:v>142919</c:v>
                </c:pt>
                <c:pt idx="132">
                  <c:v>140277</c:v>
                </c:pt>
                <c:pt idx="133">
                  <c:v>131290</c:v>
                </c:pt>
                <c:pt idx="134">
                  <c:v>142489</c:v>
                </c:pt>
                <c:pt idx="135">
                  <c:v>140094</c:v>
                </c:pt>
                <c:pt idx="136">
                  <c:v>129871</c:v>
                </c:pt>
                <c:pt idx="137">
                  <c:v>136208</c:v>
                </c:pt>
                <c:pt idx="138">
                  <c:v>136972</c:v>
                </c:pt>
                <c:pt idx="139">
                  <c:v>132067</c:v>
                </c:pt>
              </c:numCache>
            </c:numRef>
          </c:yVal>
          <c:smooth val="0"/>
        </c:ser>
        <c:ser>
          <c:idx val="3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(no)'!$C$19:$C$314</c:f>
              <c:numCache>
                <c:ptCount val="296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  <c:pt idx="285">
                  <c:v>2018.7499901000147</c:v>
                </c:pt>
                <c:pt idx="286">
                  <c:v>2018.8333234000147</c:v>
                </c:pt>
                <c:pt idx="287">
                  <c:v>2018.9166567000148</c:v>
                </c:pt>
                <c:pt idx="288">
                  <c:v>2018.9999900000148</c:v>
                </c:pt>
                <c:pt idx="289">
                  <c:v>2019.0833233000149</c:v>
                </c:pt>
                <c:pt idx="290">
                  <c:v>2019.166656600015</c:v>
                </c:pt>
                <c:pt idx="291">
                  <c:v>2019.249989900015</c:v>
                </c:pt>
                <c:pt idx="292">
                  <c:v>2019.333323200015</c:v>
                </c:pt>
                <c:pt idx="293">
                  <c:v>2019.416656500015</c:v>
                </c:pt>
                <c:pt idx="294">
                  <c:v>2019.499989800015</c:v>
                </c:pt>
                <c:pt idx="295">
                  <c:v>2019.5833231000151</c:v>
                </c:pt>
              </c:numCache>
            </c:numRef>
          </c:xVal>
          <c:yVal>
            <c:numRef>
              <c:f>'ESTRUCTURA oil (no)'!$AJ$19:$AJ$314</c:f>
              <c:numCache>
                <c:ptCount val="296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132205</c:v>
                </c:pt>
                <c:pt idx="278">
                  <c:v>132205</c:v>
                </c:pt>
                <c:pt idx="279">
                  <c:v>132205</c:v>
                </c:pt>
                <c:pt idx="280">
                  <c:v>132205</c:v>
                </c:pt>
                <c:pt idx="281">
                  <c:v>132205</c:v>
                </c:pt>
                <c:pt idx="282">
                  <c:v>132205</c:v>
                </c:pt>
                <c:pt idx="283">
                  <c:v>132205</c:v>
                </c:pt>
                <c:pt idx="284">
                  <c:v>132205</c:v>
                </c:pt>
                <c:pt idx="285">
                  <c:v>132205</c:v>
                </c:pt>
                <c:pt idx="286">
                  <c:v>132205</c:v>
                </c:pt>
                <c:pt idx="287">
                  <c:v>132205</c:v>
                </c:pt>
                <c:pt idx="288">
                  <c:v>132205</c:v>
                </c:pt>
                <c:pt idx="289">
                  <c:v>135492</c:v>
                </c:pt>
                <c:pt idx="290">
                  <c:v>135492</c:v>
                </c:pt>
                <c:pt idx="291">
                  <c:v>135492</c:v>
                </c:pt>
                <c:pt idx="292">
                  <c:v>135492</c:v>
                </c:pt>
                <c:pt idx="293">
                  <c:v>135492</c:v>
                </c:pt>
                <c:pt idx="294">
                  <c:v>135492</c:v>
                </c:pt>
                <c:pt idx="295">
                  <c:v>135492</c:v>
                </c:pt>
              </c:numCache>
            </c:numRef>
          </c:yVal>
          <c:smooth val="0"/>
        </c:ser>
        <c:axId val="13561048"/>
        <c:axId val="54940569"/>
      </c:scatterChart>
      <c:valAx>
        <c:axId val="13561048"/>
        <c:scaling>
          <c:orientation val="minMax"/>
          <c:max val="2019.6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940569"/>
        <c:crosses val="autoZero"/>
        <c:crossBetween val="midCat"/>
        <c:dispUnits/>
        <c:majorUnit val="1"/>
        <c:minorUnit val="0.1"/>
      </c:valAx>
      <c:valAx>
        <c:axId val="54940569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62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3561048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35"/>
          <c:y val="0.942"/>
          <c:w val="0.7927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37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4575"/>
          <c:w val="0.934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42"/>
              <c:delete val="1"/>
            </c:dLbl>
            <c:dLbl>
              <c:idx val="1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1,341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(no)'!$B$167:$B$311</c:f>
              <c:numCache>
                <c:ptCount val="145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</c:numCache>
            </c:numRef>
          </c:xVal>
          <c:yVal>
            <c:numRef>
              <c:f>'ESTRUCTURA gas (no)'!$N$167:$N$311</c:f>
              <c:numCache>
                <c:ptCount val="145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  <c:pt idx="134">
                  <c:v>1432568.3633</c:v>
                </c:pt>
                <c:pt idx="135">
                  <c:v>1205642.645</c:v>
                </c:pt>
                <c:pt idx="136">
                  <c:v>1374884.0149</c:v>
                </c:pt>
                <c:pt idx="137">
                  <c:v>1412080.9692</c:v>
                </c:pt>
                <c:pt idx="138">
                  <c:v>1315946.6183</c:v>
                </c:pt>
                <c:pt idx="139">
                  <c:v>1264159.3536</c:v>
                </c:pt>
                <c:pt idx="140">
                  <c:v>1194725.7082</c:v>
                </c:pt>
                <c:pt idx="141">
                  <c:v>1119085.7704</c:v>
                </c:pt>
                <c:pt idx="142">
                  <c:v>1085771.1066</c:v>
                </c:pt>
                <c:pt idx="143">
                  <c:v>1121341.1848</c:v>
                </c:pt>
                <c:pt idx="144">
                  <c:v>1340583.234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(no)'!$B$167:$B$311</c:f>
              <c:numCache>
                <c:ptCount val="145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  <c:pt idx="134">
                  <c:v>2018.7499901000128</c:v>
                </c:pt>
                <c:pt idx="135">
                  <c:v>2018.833323400013</c:v>
                </c:pt>
                <c:pt idx="136">
                  <c:v>2018.916656700013</c:v>
                </c:pt>
                <c:pt idx="137">
                  <c:v>2018.999990000013</c:v>
                </c:pt>
                <c:pt idx="138">
                  <c:v>2019.083323300013</c:v>
                </c:pt>
                <c:pt idx="139">
                  <c:v>2019.166656600013</c:v>
                </c:pt>
                <c:pt idx="140">
                  <c:v>2019.2499899000131</c:v>
                </c:pt>
                <c:pt idx="141">
                  <c:v>2019.3333232000132</c:v>
                </c:pt>
                <c:pt idx="142">
                  <c:v>2019.4166565000132</c:v>
                </c:pt>
                <c:pt idx="143">
                  <c:v>2019.4999898000133</c:v>
                </c:pt>
                <c:pt idx="144">
                  <c:v>2019.5833231000133</c:v>
                </c:pt>
              </c:numCache>
            </c:numRef>
          </c:xVal>
          <c:yVal>
            <c:numRef>
              <c:f>'ESTRUCTURA gas (no)'!$O$167:$O$311</c:f>
              <c:numCache>
                <c:ptCount val="145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1197245.8237</c:v>
                </c:pt>
                <c:pt idx="127">
                  <c:v>1197245.8237</c:v>
                </c:pt>
                <c:pt idx="128">
                  <c:v>1197245.8237</c:v>
                </c:pt>
                <c:pt idx="129">
                  <c:v>1197245.8237</c:v>
                </c:pt>
                <c:pt idx="130">
                  <c:v>1197245.8237</c:v>
                </c:pt>
                <c:pt idx="131">
                  <c:v>1197245.8237</c:v>
                </c:pt>
                <c:pt idx="132">
                  <c:v>1197245.8237</c:v>
                </c:pt>
                <c:pt idx="133">
                  <c:v>1197245.8237</c:v>
                </c:pt>
                <c:pt idx="134">
                  <c:v>1197245.8237</c:v>
                </c:pt>
                <c:pt idx="135">
                  <c:v>1197245.8237</c:v>
                </c:pt>
                <c:pt idx="136">
                  <c:v>1197245.8237</c:v>
                </c:pt>
                <c:pt idx="137">
                  <c:v>1197245.8237</c:v>
                </c:pt>
                <c:pt idx="138">
                  <c:v>1205929.7479</c:v>
                </c:pt>
                <c:pt idx="139">
                  <c:v>1205929.7479</c:v>
                </c:pt>
                <c:pt idx="140">
                  <c:v>1205929.7479</c:v>
                </c:pt>
                <c:pt idx="141">
                  <c:v>1205929.7479</c:v>
                </c:pt>
                <c:pt idx="142">
                  <c:v>1205929.7479</c:v>
                </c:pt>
                <c:pt idx="143">
                  <c:v>1205929.7479</c:v>
                </c:pt>
                <c:pt idx="144">
                  <c:v>1205929.7479</c:v>
                </c:pt>
              </c:numCache>
            </c:numRef>
          </c:yVal>
          <c:smooth val="0"/>
        </c:ser>
        <c:axId val="24703074"/>
        <c:axId val="21001075"/>
      </c:scatterChart>
      <c:valAx>
        <c:axId val="24703074"/>
        <c:scaling>
          <c:orientation val="minMax"/>
          <c:max val="2019.6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001075"/>
        <c:crosses val="autoZero"/>
        <c:crossBetween val="midCat"/>
        <c:dispUnits/>
        <c:majorUnit val="1"/>
        <c:minorUnit val="0.1"/>
      </c:valAx>
      <c:valAx>
        <c:axId val="21001075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1"/>
              <c:y val="0.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4703074"/>
        <c:crosses val="autoZero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55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55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1825"/>
          <c:w val="0.513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1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3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4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5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6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7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8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9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10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11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12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13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14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15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16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17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18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19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20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21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22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23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24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25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26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27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28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29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30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31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32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33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34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35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36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37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38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39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40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41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42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43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44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45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46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47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48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49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50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51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52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53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54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55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56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57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58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59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60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61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62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63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0.49675</cdr:x>
      <cdr:y>0.55225</cdr:y>
    </cdr:from>
    <cdr:to>
      <cdr:x>0.51</cdr:x>
      <cdr:y>0.58075</cdr:y>
    </cdr:to>
    <cdr:sp>
      <cdr:nvSpPr>
        <cdr:cNvPr id="64" name="Text Box 2"/>
        <cdr:cNvSpPr txBox="1">
          <a:spLocks noChangeArrowheads="1"/>
        </cdr:cNvSpPr>
      </cdr:nvSpPr>
      <cdr:spPr>
        <a:xfrm>
          <a:off x="3533775" y="2219325"/>
          <a:ext cx="952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0.925</cdr:x>
      <cdr:y>0.5465</cdr:y>
    </cdr:from>
    <cdr:to>
      <cdr:x>0.926</cdr:x>
      <cdr:y>0.547</cdr:y>
    </cdr:to>
    <cdr:sp>
      <cdr:nvSpPr>
        <cdr:cNvPr id="65" name="CuadroTexto 2557089"/>
        <cdr:cNvSpPr txBox="1">
          <a:spLocks noChangeArrowheads="1"/>
        </cdr:cNvSpPr>
      </cdr:nvSpPr>
      <cdr:spPr>
        <a:xfrm>
          <a:off x="6572250" y="2190750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136,208</a:t>
          </a:r>
        </a:p>
      </cdr:txBody>
    </cdr:sp>
  </cdr:relSizeAnchor>
  <cdr:relSizeAnchor xmlns:cdr="http://schemas.openxmlformats.org/drawingml/2006/chartDrawing">
    <cdr:from>
      <cdr:x>0.92025</cdr:x>
      <cdr:y>0.56425</cdr:y>
    </cdr:from>
    <cdr:to>
      <cdr:x>1</cdr:x>
      <cdr:y>0.61275</cdr:y>
    </cdr:to>
    <cdr:sp>
      <cdr:nvSpPr>
        <cdr:cNvPr id="66" name="CuadroTexto 2556961"/>
        <cdr:cNvSpPr txBox="1">
          <a:spLocks noChangeArrowheads="1"/>
        </cdr:cNvSpPr>
      </cdr:nvSpPr>
      <cdr:spPr>
        <a:xfrm>
          <a:off x="6543675" y="2266950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132,067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0.44475</cdr:x>
      <cdr:y>0.5225</cdr:y>
    </cdr:from>
    <cdr:to>
      <cdr:x>0.45475</cdr:x>
      <cdr:y>0.5675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114675" y="1924050"/>
          <a:ext cx="666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13</xdr:col>
      <xdr:colOff>114300</xdr:colOff>
      <xdr:row>30</xdr:row>
      <xdr:rowOff>95250</xdr:rowOff>
    </xdr:to>
    <xdr:graphicFrame>
      <xdr:nvGraphicFramePr>
        <xdr:cNvPr id="1" name="Chart 1026"/>
        <xdr:cNvGraphicFramePr/>
      </xdr:nvGraphicFramePr>
      <xdr:xfrm>
        <a:off x="619125" y="1066800"/>
        <a:ext cx="71151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238125</xdr:colOff>
      <xdr:row>51</xdr:row>
      <xdr:rowOff>38100</xdr:rowOff>
    </xdr:from>
    <xdr:to>
      <xdr:col>13</xdr:col>
      <xdr:colOff>0</xdr:colOff>
      <xdr:row>74</xdr:row>
      <xdr:rowOff>9525</xdr:rowOff>
    </xdr:to>
    <xdr:graphicFrame>
      <xdr:nvGraphicFramePr>
        <xdr:cNvPr id="2" name="Chart 1027"/>
        <xdr:cNvGraphicFramePr/>
      </xdr:nvGraphicFramePr>
      <xdr:xfrm>
        <a:off x="609600" y="7058025"/>
        <a:ext cx="70104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14"/>
  <sheetViews>
    <sheetView zoomScalePageLayoutView="0" workbookViewId="0" topLeftCell="A5">
      <pane xSplit="4" ySplit="3" topLeftCell="AG286" activePane="bottomRight" state="frozen"/>
      <selection pane="topLeft" activeCell="A5" sqref="A5"/>
      <selection pane="topRight" activeCell="E5" sqref="E5"/>
      <selection pane="bottomLeft" activeCell="A8" sqref="A8"/>
      <selection pane="bottomRight" activeCell="AM324" sqref="AM324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1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3.7109375" style="142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2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0" t="s">
        <v>44</v>
      </c>
      <c r="Y7" s="190" t="s">
        <v>52</v>
      </c>
      <c r="Z7" s="190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88" t="s">
        <v>21</v>
      </c>
    </row>
    <row r="8" spans="3:36" ht="12.75">
      <c r="C8" s="182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252">
        <v>127305</v>
      </c>
    </row>
    <row r="9" spans="1:36" ht="12.75">
      <c r="A9" s="149"/>
      <c r="B9" s="149"/>
      <c r="C9" s="182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252">
        <v>127305</v>
      </c>
    </row>
    <row r="10" spans="1:36" ht="12.75">
      <c r="A10" s="149"/>
      <c r="B10" s="149"/>
      <c r="C10" s="182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252">
        <v>127305</v>
      </c>
    </row>
    <row r="11" spans="1:36" ht="12.75">
      <c r="A11" s="149"/>
      <c r="B11" s="149"/>
      <c r="C11" s="182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252">
        <v>127305</v>
      </c>
    </row>
    <row r="12" spans="1:36" ht="12.75">
      <c r="A12" s="149"/>
      <c r="B12" s="149"/>
      <c r="C12" s="182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252">
        <v>127305</v>
      </c>
    </row>
    <row r="13" spans="1:36" ht="12.75">
      <c r="A13" s="149"/>
      <c r="B13" s="149"/>
      <c r="C13" s="182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252">
        <v>127305</v>
      </c>
    </row>
    <row r="14" spans="1:36" ht="12.75">
      <c r="A14" s="149">
        <v>0.0027397260273972603</v>
      </c>
      <c r="B14" s="149"/>
      <c r="C14" s="182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252">
        <v>127305</v>
      </c>
    </row>
    <row r="15" spans="1:36" ht="12.75">
      <c r="A15" s="149"/>
      <c r="B15" s="149"/>
      <c r="C15" s="182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252">
        <v>127305</v>
      </c>
    </row>
    <row r="16" spans="1:36" ht="12.75">
      <c r="A16" s="149"/>
      <c r="B16" s="149"/>
      <c r="C16" s="182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252">
        <v>127305</v>
      </c>
    </row>
    <row r="17" spans="1:36" ht="12.75">
      <c r="A17" s="149"/>
      <c r="B17" s="149"/>
      <c r="C17" s="182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252">
        <v>127305</v>
      </c>
    </row>
    <row r="18" spans="1:36" ht="12.75">
      <c r="A18" s="149"/>
      <c r="B18" s="149"/>
      <c r="C18" s="182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252">
        <v>127305</v>
      </c>
    </row>
    <row r="19" spans="1:36" ht="12.75">
      <c r="A19" s="149"/>
      <c r="B19" s="149"/>
      <c r="C19" s="182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252">
        <f>AVERAGE(AI8:AI19)</f>
        <v>127304.89300435229</v>
      </c>
    </row>
    <row r="20" spans="1:36" ht="12.75">
      <c r="A20" s="149"/>
      <c r="B20" s="149"/>
      <c r="C20" s="182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252">
        <v>121762</v>
      </c>
    </row>
    <row r="21" spans="1:36" ht="12.75">
      <c r="A21" s="149"/>
      <c r="B21" s="149"/>
      <c r="C21" s="182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252">
        <v>121762</v>
      </c>
    </row>
    <row r="22" spans="1:36" ht="12.75">
      <c r="A22" s="149"/>
      <c r="B22" s="149"/>
      <c r="C22" s="182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252">
        <v>121762</v>
      </c>
    </row>
    <row r="23" spans="1:36" ht="12.75">
      <c r="A23" s="149"/>
      <c r="B23" s="149"/>
      <c r="C23" s="182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252">
        <v>121762</v>
      </c>
    </row>
    <row r="24" spans="1:36" ht="12.75">
      <c r="A24" s="149"/>
      <c r="B24" s="149"/>
      <c r="C24" s="182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252">
        <v>121762</v>
      </c>
    </row>
    <row r="25" spans="1:36" ht="12.75">
      <c r="A25" s="149"/>
      <c r="B25" s="149"/>
      <c r="C25" s="182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252">
        <v>121700</v>
      </c>
    </row>
    <row r="26" spans="1:36" ht="12.75">
      <c r="A26" s="149"/>
      <c r="B26" s="149"/>
      <c r="C26" s="182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252">
        <v>121762</v>
      </c>
    </row>
    <row r="27" spans="1:36" ht="12.75">
      <c r="A27" s="149"/>
      <c r="B27" s="149"/>
      <c r="C27" s="182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252">
        <v>121762</v>
      </c>
    </row>
    <row r="28" spans="1:36" ht="12.75">
      <c r="A28" s="149"/>
      <c r="B28" s="149"/>
      <c r="C28" s="182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252">
        <v>121762</v>
      </c>
    </row>
    <row r="29" spans="1:36" ht="12.75">
      <c r="A29" s="149"/>
      <c r="B29" s="149"/>
      <c r="C29" s="182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252">
        <v>121762</v>
      </c>
    </row>
    <row r="30" spans="1:36" ht="12.75">
      <c r="A30" s="149"/>
      <c r="B30" s="149"/>
      <c r="C30" s="182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252">
        <v>121762</v>
      </c>
    </row>
    <row r="31" spans="1:36" ht="12.75">
      <c r="A31" s="149"/>
      <c r="B31" s="149"/>
      <c r="C31" s="182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252">
        <v>121762</v>
      </c>
    </row>
    <row r="32" spans="1:36" ht="12.75">
      <c r="A32" s="149"/>
      <c r="B32" s="149"/>
      <c r="C32" s="182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252">
        <v>119972</v>
      </c>
    </row>
    <row r="33" spans="1:36" ht="12.75">
      <c r="A33" s="149"/>
      <c r="B33" s="149"/>
      <c r="C33" s="182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252">
        <v>119972</v>
      </c>
    </row>
    <row r="34" spans="1:36" ht="12.75">
      <c r="A34" s="149"/>
      <c r="B34" s="149"/>
      <c r="C34" s="182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252">
        <v>119972</v>
      </c>
    </row>
    <row r="35" spans="1:36" ht="12.75">
      <c r="A35" s="149"/>
      <c r="B35" s="149"/>
      <c r="C35" s="182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252">
        <v>119972</v>
      </c>
    </row>
    <row r="36" spans="1:36" ht="12.75">
      <c r="A36" s="149"/>
      <c r="B36" s="149"/>
      <c r="C36" s="182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252">
        <v>119972</v>
      </c>
    </row>
    <row r="37" spans="1:36" ht="12.75">
      <c r="A37" s="149"/>
      <c r="B37" s="149"/>
      <c r="C37" s="182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252">
        <v>119972</v>
      </c>
    </row>
    <row r="38" spans="1:36" ht="12.75">
      <c r="A38" s="149"/>
      <c r="B38" s="149"/>
      <c r="C38" s="182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252">
        <v>119972</v>
      </c>
    </row>
    <row r="39" spans="1:36" ht="12.75">
      <c r="A39" s="149"/>
      <c r="B39" s="149"/>
      <c r="C39" s="182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252">
        <v>119972</v>
      </c>
    </row>
    <row r="40" spans="1:36" ht="12.75">
      <c r="A40" s="149"/>
      <c r="B40" s="149"/>
      <c r="C40" s="182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252">
        <v>119972</v>
      </c>
    </row>
    <row r="41" spans="1:36" ht="12.75">
      <c r="A41" s="149"/>
      <c r="B41" s="149"/>
      <c r="C41" s="182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252">
        <v>119972</v>
      </c>
    </row>
    <row r="42" spans="1:36" ht="12.75">
      <c r="A42" s="149"/>
      <c r="B42" s="149"/>
      <c r="C42" s="182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252">
        <v>119972</v>
      </c>
    </row>
    <row r="43" spans="1:36" ht="12.75">
      <c r="A43" s="149"/>
      <c r="B43" s="149"/>
      <c r="C43" s="182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252">
        <v>119972</v>
      </c>
    </row>
    <row r="44" spans="1:36" ht="12.75">
      <c r="A44" s="149"/>
      <c r="B44" s="149"/>
      <c r="C44" s="182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246">
        <v>118239</v>
      </c>
    </row>
    <row r="45" spans="1:36" ht="12.75">
      <c r="A45" s="149"/>
      <c r="B45" s="149"/>
      <c r="C45" s="182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246">
        <v>118239</v>
      </c>
    </row>
    <row r="46" spans="1:36" ht="12.75">
      <c r="A46" s="149"/>
      <c r="B46" s="149"/>
      <c r="C46" s="182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246">
        <v>118239</v>
      </c>
    </row>
    <row r="47" spans="1:36" ht="12.75">
      <c r="A47" s="149"/>
      <c r="B47" s="149"/>
      <c r="C47" s="182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246">
        <v>118239</v>
      </c>
    </row>
    <row r="48" spans="1:36" ht="12.75">
      <c r="A48" s="149"/>
      <c r="B48" s="149"/>
      <c r="C48" s="182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246">
        <v>118239</v>
      </c>
    </row>
    <row r="49" spans="1:36" ht="12.75">
      <c r="A49" s="149"/>
      <c r="B49" s="149"/>
      <c r="C49" s="182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246">
        <v>118239</v>
      </c>
    </row>
    <row r="50" spans="1:36" ht="12.75">
      <c r="A50" s="149"/>
      <c r="B50" s="149"/>
      <c r="C50" s="182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246">
        <v>118239</v>
      </c>
    </row>
    <row r="51" spans="1:36" ht="12.75">
      <c r="A51" s="149"/>
      <c r="B51" s="149"/>
      <c r="C51" s="182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246">
        <v>118239</v>
      </c>
    </row>
    <row r="52" spans="1:36" ht="12.75">
      <c r="A52" s="149"/>
      <c r="B52" s="149"/>
      <c r="C52" s="182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246">
        <v>118239</v>
      </c>
    </row>
    <row r="53" spans="1:36" ht="12.75">
      <c r="A53" s="149"/>
      <c r="B53" s="149"/>
      <c r="C53" s="182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246">
        <v>118239</v>
      </c>
    </row>
    <row r="54" spans="1:36" ht="12.75">
      <c r="A54" s="149"/>
      <c r="B54" s="149"/>
      <c r="C54" s="182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246">
        <v>118239</v>
      </c>
    </row>
    <row r="55" spans="1:36" ht="12.75">
      <c r="A55" s="149"/>
      <c r="B55" s="149"/>
      <c r="C55" s="182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246">
        <v>118239</v>
      </c>
    </row>
    <row r="56" spans="1:36" ht="12.75">
      <c r="A56" s="149"/>
      <c r="B56" s="149"/>
      <c r="C56" s="182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246">
        <v>115593</v>
      </c>
    </row>
    <row r="57" spans="1:36" ht="12.75">
      <c r="A57" s="149"/>
      <c r="B57" s="149"/>
      <c r="C57" s="182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246">
        <f>AJ56</f>
        <v>115593</v>
      </c>
    </row>
    <row r="58" spans="1:36" ht="12.75">
      <c r="A58" s="149"/>
      <c r="B58" s="149"/>
      <c r="C58" s="182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246">
        <f>AJ57</f>
        <v>115593</v>
      </c>
    </row>
    <row r="59" spans="1:36" ht="12.75">
      <c r="A59" s="149"/>
      <c r="B59" s="149"/>
      <c r="C59" s="182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246">
        <f>AJ58</f>
        <v>115593</v>
      </c>
    </row>
    <row r="60" spans="1:36" ht="12.75">
      <c r="A60" s="149"/>
      <c r="B60" s="149"/>
      <c r="C60" s="182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246">
        <f>AJ59</f>
        <v>115593</v>
      </c>
    </row>
    <row r="61" spans="1:36" ht="12.75">
      <c r="A61" s="149"/>
      <c r="B61" s="149"/>
      <c r="C61" s="182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246">
        <f aca="true" t="shared" si="4" ref="AJ61:AJ67">+AJ60</f>
        <v>115593</v>
      </c>
    </row>
    <row r="62" spans="1:36" ht="12.75">
      <c r="A62" s="149"/>
      <c r="B62" s="149"/>
      <c r="C62" s="182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246">
        <f t="shared" si="4"/>
        <v>115593</v>
      </c>
    </row>
    <row r="63" spans="1:36" ht="12.75">
      <c r="A63" s="149"/>
      <c r="B63" s="149"/>
      <c r="C63" s="182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246">
        <f t="shared" si="4"/>
        <v>115593</v>
      </c>
    </row>
    <row r="64" spans="1:36" ht="12.75">
      <c r="A64" s="149"/>
      <c r="B64" s="149"/>
      <c r="C64" s="182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246">
        <f t="shared" si="4"/>
        <v>115593</v>
      </c>
    </row>
    <row r="65" spans="1:36" ht="12.75">
      <c r="A65" s="149"/>
      <c r="B65" s="149"/>
      <c r="C65" s="182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246">
        <f t="shared" si="4"/>
        <v>115593</v>
      </c>
    </row>
    <row r="66" spans="1:36" ht="12.75">
      <c r="A66" s="149"/>
      <c r="B66" s="149"/>
      <c r="C66" s="182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246">
        <f t="shared" si="4"/>
        <v>115593</v>
      </c>
    </row>
    <row r="67" spans="1:36" ht="12.75">
      <c r="A67" s="149"/>
      <c r="B67" s="149"/>
      <c r="C67" s="182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246">
        <f t="shared" si="4"/>
        <v>115593</v>
      </c>
    </row>
    <row r="68" spans="1:36" ht="12.75">
      <c r="A68" s="149"/>
      <c r="B68" s="149"/>
      <c r="C68" s="182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246">
        <v>105927</v>
      </c>
    </row>
    <row r="69" spans="1:36" ht="12.75">
      <c r="A69" s="149"/>
      <c r="B69" s="149"/>
      <c r="C69" s="182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246">
        <f aca="true" t="shared" si="5" ref="AJ69:AJ78">+AJ68</f>
        <v>105927</v>
      </c>
    </row>
    <row r="70" spans="1:36" ht="12.75">
      <c r="A70" s="149"/>
      <c r="B70" s="149"/>
      <c r="C70" s="182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246">
        <f t="shared" si="5"/>
        <v>105927</v>
      </c>
    </row>
    <row r="71" spans="1:36" ht="12.75">
      <c r="A71" s="149"/>
      <c r="B71" s="149"/>
      <c r="C71" s="182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246">
        <f t="shared" si="5"/>
        <v>105927</v>
      </c>
    </row>
    <row r="72" spans="1:37" ht="12.75">
      <c r="A72" s="149"/>
      <c r="B72" s="149"/>
      <c r="C72" s="182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246">
        <f t="shared" si="5"/>
        <v>105927</v>
      </c>
      <c r="AK72" s="137"/>
    </row>
    <row r="73" spans="1:36" ht="12.75">
      <c r="A73" s="149"/>
      <c r="B73" s="149"/>
      <c r="C73" s="182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246">
        <f t="shared" si="5"/>
        <v>105927</v>
      </c>
    </row>
    <row r="74" spans="1:36" ht="12.75">
      <c r="A74" s="149"/>
      <c r="B74" s="149"/>
      <c r="C74" s="182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246">
        <f t="shared" si="5"/>
        <v>105927</v>
      </c>
    </row>
    <row r="75" spans="1:36" ht="12.75">
      <c r="A75" s="149"/>
      <c r="B75" s="149"/>
      <c r="C75" s="182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246">
        <f t="shared" si="5"/>
        <v>105927</v>
      </c>
    </row>
    <row r="76" spans="1:36" ht="12.75">
      <c r="A76" s="149"/>
      <c r="B76" s="149"/>
      <c r="C76" s="182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246">
        <f t="shared" si="5"/>
        <v>105927</v>
      </c>
    </row>
    <row r="77" spans="1:36" ht="12.75">
      <c r="A77" s="149"/>
      <c r="B77" s="149"/>
      <c r="C77" s="182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246">
        <f t="shared" si="5"/>
        <v>105927</v>
      </c>
    </row>
    <row r="78" spans="1:36" ht="12.75">
      <c r="A78" s="149"/>
      <c r="B78" s="149"/>
      <c r="C78" s="182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246">
        <f t="shared" si="5"/>
        <v>105927</v>
      </c>
    </row>
    <row r="79" spans="1:36" ht="12.75">
      <c r="A79" s="149"/>
      <c r="B79" s="149"/>
      <c r="C79" s="182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246">
        <f>+AJ78</f>
        <v>105927</v>
      </c>
    </row>
    <row r="80" spans="1:36" ht="12.75">
      <c r="A80" s="149"/>
      <c r="B80" s="149"/>
      <c r="C80" s="182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252">
        <v>99217</v>
      </c>
    </row>
    <row r="81" spans="1:36" ht="12.75">
      <c r="A81" s="149"/>
      <c r="B81" s="149"/>
      <c r="C81" s="182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252">
        <f aca="true" t="shared" si="6" ref="AJ81:AJ86">+AJ80</f>
        <v>99217</v>
      </c>
    </row>
    <row r="82" spans="1:36" ht="12.75">
      <c r="A82" s="149"/>
      <c r="B82" s="149"/>
      <c r="C82" s="182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252">
        <f t="shared" si="6"/>
        <v>99217</v>
      </c>
    </row>
    <row r="83" spans="1:36" ht="12.75">
      <c r="A83" s="149"/>
      <c r="B83" s="149"/>
      <c r="C83" s="182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252">
        <f t="shared" si="6"/>
        <v>99217</v>
      </c>
    </row>
    <row r="84" spans="1:36" ht="12.75">
      <c r="A84" s="149"/>
      <c r="B84" s="149"/>
      <c r="C84" s="182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252">
        <f t="shared" si="6"/>
        <v>99217</v>
      </c>
    </row>
    <row r="85" spans="1:39" ht="12.75">
      <c r="A85" s="149"/>
      <c r="B85" s="149"/>
      <c r="C85" s="182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82">
        <v>3869</v>
      </c>
      <c r="K85" s="282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252">
        <f t="shared" si="6"/>
        <v>99217</v>
      </c>
      <c r="AM85" s="134"/>
    </row>
    <row r="86" spans="1:39" ht="12.75">
      <c r="A86" s="149"/>
      <c r="B86" s="149"/>
      <c r="C86" s="182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82">
        <v>4034</v>
      </c>
      <c r="K86" s="282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252">
        <f t="shared" si="6"/>
        <v>99217</v>
      </c>
      <c r="AM86" s="134"/>
    </row>
    <row r="87" spans="1:36" ht="12.75">
      <c r="A87" s="149"/>
      <c r="B87" s="149"/>
      <c r="C87" s="182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82">
        <v>4285</v>
      </c>
      <c r="K87" s="282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252">
        <f>+AJ86</f>
        <v>99217</v>
      </c>
    </row>
    <row r="88" spans="1:40" ht="12.75">
      <c r="A88" s="149"/>
      <c r="B88" s="149"/>
      <c r="C88" s="182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82">
        <v>4266</v>
      </c>
      <c r="K88" s="282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252">
        <f>+AJ87</f>
        <v>99217</v>
      </c>
      <c r="AN88" s="134"/>
    </row>
    <row r="89" spans="1:36" ht="12.75">
      <c r="A89" s="149"/>
      <c r="B89" s="149"/>
      <c r="C89" s="182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82">
        <v>4352</v>
      </c>
      <c r="K89" s="282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252">
        <f>+AJ88</f>
        <v>99217</v>
      </c>
    </row>
    <row r="90" spans="1:36" ht="12.75">
      <c r="A90" s="149"/>
      <c r="B90" s="149"/>
      <c r="C90" s="182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87">
        <v>4271.266666666666</v>
      </c>
      <c r="K90" s="287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252">
        <f>+AJ89</f>
        <v>99217</v>
      </c>
    </row>
    <row r="91" spans="1:36" ht="12.75">
      <c r="A91" s="149"/>
      <c r="B91" s="149"/>
      <c r="C91" s="182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82">
        <v>4265.225806451613</v>
      </c>
      <c r="K91" s="282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252">
        <v>99217</v>
      </c>
    </row>
    <row r="92" spans="1:36" ht="12.75">
      <c r="A92" s="149"/>
      <c r="B92" s="149"/>
      <c r="C92" s="182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82">
        <v>4113.322580645161</v>
      </c>
      <c r="K92" s="282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252">
        <v>97097</v>
      </c>
    </row>
    <row r="93" spans="1:36" ht="12.75">
      <c r="A93" s="149"/>
      <c r="B93" s="149"/>
      <c r="C93" s="182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82">
        <v>4045.214285714286</v>
      </c>
      <c r="K93" s="282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252">
        <f aca="true" t="shared" si="8" ref="AJ93:AJ98">+AJ92</f>
        <v>97097</v>
      </c>
    </row>
    <row r="94" spans="1:39" ht="12.75">
      <c r="A94" s="149"/>
      <c r="B94" s="149"/>
      <c r="C94" s="182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82">
        <v>3904.064516129032</v>
      </c>
      <c r="K94" s="282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252">
        <f t="shared" si="8"/>
        <v>97097</v>
      </c>
      <c r="AM94" s="134"/>
    </row>
    <row r="95" spans="1:39" ht="12.75">
      <c r="A95" s="149"/>
      <c r="B95" s="149"/>
      <c r="C95" s="182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82">
        <v>4358.2</v>
      </c>
      <c r="K95" s="282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252">
        <f t="shared" si="8"/>
        <v>97097</v>
      </c>
      <c r="AM95" s="134"/>
    </row>
    <row r="96" spans="1:39" ht="12.75">
      <c r="A96" s="149"/>
      <c r="B96" s="149"/>
      <c r="C96" s="182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82">
        <v>4537.387096774193</v>
      </c>
      <c r="K96" s="282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252">
        <f t="shared" si="8"/>
        <v>97097</v>
      </c>
      <c r="AM96" s="134"/>
    </row>
    <row r="97" spans="1:39" ht="12.75">
      <c r="A97" s="149"/>
      <c r="B97" s="149"/>
      <c r="C97" s="182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82">
        <v>4451</v>
      </c>
      <c r="K97" s="282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252">
        <f t="shared" si="8"/>
        <v>97097</v>
      </c>
      <c r="AM97" s="134"/>
    </row>
    <row r="98" spans="1:39" ht="12.75">
      <c r="A98" s="149"/>
      <c r="B98" s="149"/>
      <c r="C98" s="182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82">
        <v>4561</v>
      </c>
      <c r="K98" s="282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252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2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82">
        <v>4385</v>
      </c>
      <c r="K99" s="282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252">
        <f>+AJ98</f>
        <v>97097</v>
      </c>
      <c r="AM99" s="134"/>
    </row>
    <row r="100" spans="1:39" ht="12.75">
      <c r="A100" s="149"/>
      <c r="B100" s="149"/>
      <c r="C100" s="182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82">
        <v>4487</v>
      </c>
      <c r="K100" s="282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252">
        <f>+AJ99</f>
        <v>97097</v>
      </c>
      <c r="AM100" s="134"/>
    </row>
    <row r="101" spans="1:39" ht="12.75">
      <c r="A101" s="149"/>
      <c r="B101" s="149"/>
      <c r="C101" s="182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82">
        <v>4265</v>
      </c>
      <c r="K101" s="282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252">
        <f>+AJ100</f>
        <v>97097</v>
      </c>
      <c r="AM101" s="134"/>
    </row>
    <row r="102" spans="1:39" ht="12.75">
      <c r="A102" s="149"/>
      <c r="B102" s="149"/>
      <c r="C102" s="182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82">
        <v>4133</v>
      </c>
      <c r="K102" s="282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252">
        <f>+AJ101</f>
        <v>97097</v>
      </c>
      <c r="AM102" s="134"/>
    </row>
    <row r="103" spans="1:39" ht="12.75">
      <c r="A103" s="149"/>
      <c r="B103" s="149"/>
      <c r="C103" s="182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82">
        <v>3945</v>
      </c>
      <c r="K103" s="282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252">
        <f>+AJ102</f>
        <v>97097</v>
      </c>
      <c r="AM103" s="134"/>
    </row>
    <row r="104" spans="1:39" ht="12.75">
      <c r="A104" s="149"/>
      <c r="B104" s="149"/>
      <c r="C104" s="182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82">
        <v>3743</v>
      </c>
      <c r="K104" s="282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252">
        <v>96865</v>
      </c>
      <c r="AM104" s="134"/>
    </row>
    <row r="105" spans="1:39" ht="12.75">
      <c r="A105" s="149"/>
      <c r="B105" s="149"/>
      <c r="C105" s="182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82">
        <v>3792</v>
      </c>
      <c r="K105" s="282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252">
        <f>+AJ104</f>
        <v>96865</v>
      </c>
      <c r="AM105" s="134"/>
    </row>
    <row r="106" spans="1:39" ht="12.75">
      <c r="A106" s="149"/>
      <c r="B106" s="149"/>
      <c r="C106" s="182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82">
        <v>3462</v>
      </c>
      <c r="K106" s="282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252">
        <f aca="true" t="shared" si="10" ref="AJ106:AJ114">+AJ105</f>
        <v>96865</v>
      </c>
      <c r="AM106" s="134"/>
    </row>
    <row r="107" spans="1:39" ht="12.75">
      <c r="A107" s="149"/>
      <c r="B107" s="149"/>
      <c r="C107" s="182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82">
        <v>3441</v>
      </c>
      <c r="K107" s="282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252">
        <f t="shared" si="10"/>
        <v>96865</v>
      </c>
      <c r="AM107" s="134"/>
    </row>
    <row r="108" spans="1:39" ht="12.75">
      <c r="A108" s="149"/>
      <c r="B108" s="149"/>
      <c r="C108" s="182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82">
        <v>3531</v>
      </c>
      <c r="K108" s="282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252">
        <f t="shared" si="10"/>
        <v>96865</v>
      </c>
      <c r="AM108" s="134"/>
    </row>
    <row r="109" spans="1:39" ht="12.75">
      <c r="A109" s="149"/>
      <c r="B109" s="149"/>
      <c r="C109" s="182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82">
        <v>3546</v>
      </c>
      <c r="K109" s="282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252">
        <f t="shared" si="10"/>
        <v>96865</v>
      </c>
      <c r="AM109" s="134"/>
    </row>
    <row r="110" spans="1:39" ht="12.75">
      <c r="A110" s="149"/>
      <c r="B110" s="149"/>
      <c r="C110" s="182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82">
        <v>3405</v>
      </c>
      <c r="K110" s="282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252">
        <f t="shared" si="10"/>
        <v>96865</v>
      </c>
      <c r="AM110" s="134"/>
    </row>
    <row r="111" spans="1:39" ht="12.75">
      <c r="A111" s="149"/>
      <c r="B111" s="149"/>
      <c r="C111" s="182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82">
        <v>3341</v>
      </c>
      <c r="K111" s="282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252">
        <f t="shared" si="10"/>
        <v>96865</v>
      </c>
      <c r="AM111" s="134"/>
    </row>
    <row r="112" spans="1:39" ht="12.75">
      <c r="A112" s="149"/>
      <c r="B112" s="149"/>
      <c r="C112" s="182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82">
        <v>3357</v>
      </c>
      <c r="K112" s="282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252">
        <f t="shared" si="10"/>
        <v>96865</v>
      </c>
      <c r="AM112" s="134"/>
    </row>
    <row r="113" spans="1:39" ht="12.75">
      <c r="A113" s="149"/>
      <c r="B113" s="149"/>
      <c r="C113" s="182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82">
        <v>3346</v>
      </c>
      <c r="K113" s="282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252">
        <f t="shared" si="10"/>
        <v>96865</v>
      </c>
      <c r="AM113" s="134"/>
    </row>
    <row r="114" spans="1:39" ht="12.75">
      <c r="A114" s="149"/>
      <c r="B114" s="149"/>
      <c r="C114" s="182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82">
        <v>3341</v>
      </c>
      <c r="K114" s="282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252">
        <f t="shared" si="10"/>
        <v>96865</v>
      </c>
      <c r="AM114" s="134"/>
    </row>
    <row r="115" spans="1:39" ht="12.75">
      <c r="A115" s="149"/>
      <c r="B115" s="149"/>
      <c r="C115" s="182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82">
        <v>3291</v>
      </c>
      <c r="K115" s="282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252">
        <f>+AJ114</f>
        <v>96865</v>
      </c>
      <c r="AM115" s="134"/>
    </row>
    <row r="116" spans="1:39" ht="12.75">
      <c r="A116" s="149"/>
      <c r="B116" s="149"/>
      <c r="C116" s="182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82">
        <v>3103</v>
      </c>
      <c r="K116" s="282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253">
        <v>91350</v>
      </c>
      <c r="AM116" s="134"/>
    </row>
    <row r="117" spans="1:39" ht="12.75">
      <c r="A117" s="149"/>
      <c r="B117" s="149"/>
      <c r="C117" s="182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82">
        <v>3002</v>
      </c>
      <c r="K117" s="282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252">
        <f aca="true" t="shared" si="12" ref="AJ117:AJ127">+AJ116</f>
        <v>91350</v>
      </c>
      <c r="AM117" s="134"/>
    </row>
    <row r="118" spans="1:36" ht="12.75">
      <c r="A118" s="149"/>
      <c r="B118" s="149"/>
      <c r="C118" s="182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82">
        <v>2920</v>
      </c>
      <c r="K118" s="282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252">
        <f t="shared" si="12"/>
        <v>91350</v>
      </c>
    </row>
    <row r="119" spans="1:36" ht="12.75">
      <c r="A119" s="149"/>
      <c r="B119" s="149"/>
      <c r="C119" s="182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82">
        <v>3023</v>
      </c>
      <c r="K119" s="282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252">
        <f t="shared" si="12"/>
        <v>91350</v>
      </c>
    </row>
    <row r="120" spans="1:36" ht="12.75">
      <c r="A120" s="149"/>
      <c r="B120" s="149"/>
      <c r="C120" s="182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82">
        <v>3080</v>
      </c>
      <c r="K120" s="282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252">
        <f t="shared" si="12"/>
        <v>91350</v>
      </c>
    </row>
    <row r="121" spans="1:36" ht="12.75">
      <c r="A121" s="149"/>
      <c r="B121" s="149"/>
      <c r="C121" s="182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82">
        <v>3168</v>
      </c>
      <c r="K121" s="282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252">
        <f t="shared" si="12"/>
        <v>91350</v>
      </c>
    </row>
    <row r="122" spans="1:36" ht="12.75">
      <c r="A122" s="149"/>
      <c r="B122" s="149"/>
      <c r="C122" s="182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82">
        <v>3369</v>
      </c>
      <c r="K122" s="282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252">
        <f t="shared" si="12"/>
        <v>91350</v>
      </c>
    </row>
    <row r="123" spans="1:36" ht="12.75">
      <c r="A123" s="149"/>
      <c r="B123" s="149"/>
      <c r="C123" s="182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82">
        <v>3462</v>
      </c>
      <c r="K123" s="282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252">
        <f t="shared" si="12"/>
        <v>91350</v>
      </c>
    </row>
    <row r="124" spans="1:36" ht="12.75">
      <c r="A124" s="149"/>
      <c r="B124" s="149"/>
      <c r="C124" s="182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82">
        <v>3406</v>
      </c>
      <c r="K124" s="282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252">
        <f t="shared" si="12"/>
        <v>91350</v>
      </c>
    </row>
    <row r="125" spans="1:36" ht="12.75">
      <c r="A125" s="149"/>
      <c r="B125" s="149"/>
      <c r="C125" s="182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82">
        <v>3500</v>
      </c>
      <c r="K125" s="282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252">
        <f>+AJ124</f>
        <v>91350</v>
      </c>
    </row>
    <row r="126" spans="1:36" ht="12.75">
      <c r="A126" s="149"/>
      <c r="B126" s="149"/>
      <c r="C126" s="182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82">
        <v>3472</v>
      </c>
      <c r="K126" s="282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252">
        <f t="shared" si="12"/>
        <v>91350</v>
      </c>
    </row>
    <row r="127" spans="1:36" ht="12.75">
      <c r="A127" s="149"/>
      <c r="B127" s="149"/>
      <c r="C127" s="182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82">
        <v>4015</v>
      </c>
      <c r="K127" s="282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252">
        <f t="shared" si="12"/>
        <v>91350</v>
      </c>
    </row>
    <row r="128" spans="1:36" ht="12.75">
      <c r="A128" s="149"/>
      <c r="B128" s="149"/>
      <c r="C128" s="182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82">
        <v>3622</v>
      </c>
      <c r="K128" s="282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252">
        <v>94120</v>
      </c>
    </row>
    <row r="129" spans="3:36" ht="12.75">
      <c r="C129" s="182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82">
        <v>3604</v>
      </c>
      <c r="K129" s="282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252">
        <v>94120</v>
      </c>
    </row>
    <row r="130" spans="3:36" ht="12.75">
      <c r="C130" s="182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82">
        <v>3645</v>
      </c>
      <c r="K130" s="282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252">
        <v>94120</v>
      </c>
    </row>
    <row r="131" spans="3:36" ht="12.75">
      <c r="C131" s="182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82">
        <v>3604.5</v>
      </c>
      <c r="K131" s="282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252">
        <v>94120</v>
      </c>
    </row>
    <row r="132" spans="3:36" ht="12.75">
      <c r="C132" s="182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82">
        <v>3630</v>
      </c>
      <c r="K132" s="282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252">
        <v>94120</v>
      </c>
    </row>
    <row r="133" spans="3:36" ht="12.75">
      <c r="C133" s="182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82">
        <v>3661.0666666666666</v>
      </c>
      <c r="K133" s="282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252">
        <v>94120</v>
      </c>
    </row>
    <row r="134" spans="3:36" ht="12.75">
      <c r="C134" s="182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82">
        <v>3662.032258064516</v>
      </c>
      <c r="K134" s="282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252">
        <v>94120</v>
      </c>
    </row>
    <row r="135" spans="3:36" ht="12.75">
      <c r="C135" s="182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82">
        <v>3615.6451612903224</v>
      </c>
      <c r="K135" s="282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252">
        <v>94120</v>
      </c>
    </row>
    <row r="136" spans="3:36" ht="12.75">
      <c r="C136" s="182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82">
        <v>3657.0333333333333</v>
      </c>
      <c r="K136" s="282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252">
        <v>94120</v>
      </c>
    </row>
    <row r="137" spans="3:36" ht="12.75">
      <c r="C137" s="182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82">
        <v>3615.483870967742</v>
      </c>
      <c r="K137" s="282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252">
        <v>94120</v>
      </c>
    </row>
    <row r="138" spans="3:36" ht="12.75">
      <c r="C138" s="182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82">
        <v>3553.5666666666666</v>
      </c>
      <c r="K138" s="282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252">
        <v>94120</v>
      </c>
    </row>
    <row r="139" spans="3:38" ht="12.75">
      <c r="C139" s="182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82">
        <v>3515</v>
      </c>
      <c r="K139" s="282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252">
        <v>94120</v>
      </c>
      <c r="AL139" s="138"/>
    </row>
    <row r="140" spans="3:38" ht="12.75">
      <c r="C140" s="182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82">
        <v>3414</v>
      </c>
      <c r="K140" s="282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252">
        <v>111295</v>
      </c>
      <c r="AL140" s="138"/>
    </row>
    <row r="141" spans="3:36" ht="12.75">
      <c r="C141" s="182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82">
        <v>3357</v>
      </c>
      <c r="K141" s="282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252">
        <v>111295</v>
      </c>
    </row>
    <row r="142" spans="3:36" ht="12.75">
      <c r="C142" s="182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82">
        <v>3434.3225806451615</v>
      </c>
      <c r="K142" s="282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252">
        <v>111295</v>
      </c>
    </row>
    <row r="143" spans="3:36" ht="12.75">
      <c r="C143" s="182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82">
        <v>3363</v>
      </c>
      <c r="K143" s="282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252">
        <v>111295</v>
      </c>
    </row>
    <row r="144" spans="3:36" ht="12.75">
      <c r="C144" s="182">
        <f t="shared" si="7"/>
        <v>2005.4166621000068</v>
      </c>
      <c r="D144" s="152">
        <v>38473</v>
      </c>
      <c r="E144" s="155">
        <v>737</v>
      </c>
      <c r="F144" s="155">
        <v>533</v>
      </c>
      <c r="G144" s="155">
        <v>925</v>
      </c>
      <c r="H144" s="155">
        <v>768</v>
      </c>
      <c r="I144" s="148">
        <v>120</v>
      </c>
      <c r="J144" s="282">
        <v>3416</v>
      </c>
      <c r="K144" s="282"/>
      <c r="L144" s="155">
        <v>293</v>
      </c>
      <c r="M144" s="148">
        <v>12480</v>
      </c>
      <c r="N144" s="155"/>
      <c r="O144" s="155"/>
      <c r="P144" s="155"/>
      <c r="Q144" s="155">
        <v>18</v>
      </c>
      <c r="R144" s="155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252">
        <v>111295</v>
      </c>
    </row>
    <row r="145" spans="3:36" ht="12.75">
      <c r="C145" s="182">
        <f t="shared" si="7"/>
        <v>2005.4999954000068</v>
      </c>
      <c r="D145" s="152">
        <v>38504</v>
      </c>
      <c r="E145" s="155">
        <v>752</v>
      </c>
      <c r="F145" s="155">
        <v>561</v>
      </c>
      <c r="G145" s="155">
        <v>957</v>
      </c>
      <c r="H145" s="155">
        <v>786</v>
      </c>
      <c r="I145" s="155">
        <v>132</v>
      </c>
      <c r="J145" s="282">
        <v>3386</v>
      </c>
      <c r="K145" s="282"/>
      <c r="L145" s="155">
        <v>290</v>
      </c>
      <c r="M145" s="148">
        <v>12647</v>
      </c>
      <c r="N145" s="155"/>
      <c r="O145" s="155"/>
      <c r="P145" s="155"/>
      <c r="Q145" s="155">
        <v>21</v>
      </c>
      <c r="R145" s="155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252">
        <v>111295</v>
      </c>
    </row>
    <row r="146" spans="3:40" ht="12.75">
      <c r="C146" s="182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82">
        <v>3353</v>
      </c>
      <c r="K146" s="282"/>
      <c r="L146" s="148">
        <v>287</v>
      </c>
      <c r="M146" s="148">
        <v>12897</v>
      </c>
      <c r="N146" s="155"/>
      <c r="O146" s="155"/>
      <c r="P146" s="155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252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2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82">
        <v>3355</v>
      </c>
      <c r="K147" s="282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252">
        <v>111295</v>
      </c>
    </row>
    <row r="148" spans="3:36" ht="12.75">
      <c r="C148" s="182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82">
        <v>3402</v>
      </c>
      <c r="K148" s="282"/>
      <c r="L148" s="148">
        <v>283</v>
      </c>
      <c r="M148" s="148">
        <v>12690</v>
      </c>
      <c r="N148" s="155"/>
      <c r="O148" s="148">
        <v>7</v>
      </c>
      <c r="P148" s="155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252">
        <v>111295</v>
      </c>
    </row>
    <row r="149" spans="3:36" ht="12.75">
      <c r="C149" s="182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82">
        <v>3320</v>
      </c>
      <c r="K149" s="282"/>
      <c r="L149" s="148">
        <v>281</v>
      </c>
      <c r="M149" s="148">
        <v>12724</v>
      </c>
      <c r="N149" s="155"/>
      <c r="O149" s="148">
        <v>4</v>
      </c>
      <c r="P149" s="155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252">
        <v>111295</v>
      </c>
    </row>
    <row r="150" spans="3:36" ht="12.75">
      <c r="C150" s="182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82">
        <v>3087</v>
      </c>
      <c r="K150" s="286"/>
      <c r="L150" s="148">
        <v>285</v>
      </c>
      <c r="M150" s="148">
        <v>12885</v>
      </c>
      <c r="N150" s="155"/>
      <c r="O150" s="148">
        <v>7</v>
      </c>
      <c r="P150" s="155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252">
        <v>111295</v>
      </c>
    </row>
    <row r="151" spans="3:36" ht="12.75">
      <c r="C151" s="182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82">
        <v>3053</v>
      </c>
      <c r="K151" s="286"/>
      <c r="L151" s="148">
        <v>278</v>
      </c>
      <c r="M151" s="148">
        <v>12846</v>
      </c>
      <c r="N151" s="155"/>
      <c r="O151" s="148">
        <v>13</v>
      </c>
      <c r="P151" s="155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252">
        <v>111295</v>
      </c>
    </row>
    <row r="152" spans="3:36" ht="12.75">
      <c r="C152" s="182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82">
        <v>3163.19</v>
      </c>
      <c r="K152" s="282"/>
      <c r="L152" s="148">
        <v>283.548</v>
      </c>
      <c r="M152" s="148">
        <v>12448.70915</v>
      </c>
      <c r="N152" s="155"/>
      <c r="O152" s="148">
        <v>1.419</v>
      </c>
      <c r="P152" s="155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252">
        <v>115581</v>
      </c>
    </row>
    <row r="153" spans="3:36" ht="12.75">
      <c r="C153" s="182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86">
        <v>3199</v>
      </c>
      <c r="K153" s="286"/>
      <c r="L153" s="148">
        <v>281</v>
      </c>
      <c r="M153" s="148">
        <v>12513</v>
      </c>
      <c r="N153" s="155"/>
      <c r="O153" s="148">
        <v>2</v>
      </c>
      <c r="P153" s="155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252">
        <f>+AJ152</f>
        <v>115581</v>
      </c>
    </row>
    <row r="154" spans="3:36" ht="12.75">
      <c r="C154" s="182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86">
        <v>3167</v>
      </c>
      <c r="K154" s="286"/>
      <c r="L154" s="148">
        <v>276</v>
      </c>
      <c r="M154" s="148">
        <v>12650</v>
      </c>
      <c r="N154" s="155"/>
      <c r="O154" s="148">
        <v>3</v>
      </c>
      <c r="P154" s="155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252">
        <f aca="true" t="shared" si="17" ref="AJ154:AJ162">+AJ153</f>
        <v>115581</v>
      </c>
    </row>
    <row r="155" spans="3:36" ht="12.75">
      <c r="C155" s="182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86">
        <v>3182</v>
      </c>
      <c r="K155" s="286"/>
      <c r="L155" s="148">
        <v>274</v>
      </c>
      <c r="M155" s="148">
        <v>12783</v>
      </c>
      <c r="N155" s="155"/>
      <c r="O155" s="148">
        <v>2</v>
      </c>
      <c r="P155" s="155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252">
        <f t="shared" si="17"/>
        <v>115581</v>
      </c>
    </row>
    <row r="156" spans="3:36" ht="12.75">
      <c r="C156" s="182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82">
        <v>3146</v>
      </c>
      <c r="K156" s="282"/>
      <c r="L156" s="148">
        <v>236</v>
      </c>
      <c r="M156" s="148">
        <v>12930</v>
      </c>
      <c r="N156" s="155"/>
      <c r="O156" s="148">
        <v>0</v>
      </c>
      <c r="P156" s="155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252">
        <f t="shared" si="17"/>
        <v>115581</v>
      </c>
    </row>
    <row r="157" spans="3:36" ht="12.75">
      <c r="C157" s="182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82">
        <v>3103</v>
      </c>
      <c r="K157" s="282"/>
      <c r="L157" s="148">
        <v>272</v>
      </c>
      <c r="M157" s="148">
        <v>13066</v>
      </c>
      <c r="N157" s="155"/>
      <c r="O157" s="148">
        <v>0</v>
      </c>
      <c r="P157" s="155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252">
        <f t="shared" si="17"/>
        <v>115581</v>
      </c>
    </row>
    <row r="158" spans="3:36" ht="12.75">
      <c r="C158" s="182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82">
        <v>3059.6451612903224</v>
      </c>
      <c r="K158" s="282"/>
      <c r="L158" s="148">
        <v>288.48387096774195</v>
      </c>
      <c r="M158" s="148">
        <v>12927.322580645161</v>
      </c>
      <c r="N158" s="148"/>
      <c r="O158" s="156">
        <v>0</v>
      </c>
      <c r="P158" s="156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252">
        <f t="shared" si="17"/>
        <v>115581</v>
      </c>
    </row>
    <row r="159" spans="3:36" ht="12.75">
      <c r="C159" s="182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85">
        <f>93766/31</f>
        <v>3024.7096774193546</v>
      </c>
      <c r="K159" s="285"/>
      <c r="L159" s="148">
        <v>289.5806451612903</v>
      </c>
      <c r="M159" s="148">
        <f>403648/31</f>
        <v>13020.90322580645</v>
      </c>
      <c r="N159" s="155"/>
      <c r="O159" s="148">
        <v>5.161290322580645</v>
      </c>
      <c r="P159" s="155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252">
        <f t="shared" si="17"/>
        <v>115581</v>
      </c>
    </row>
    <row r="160" spans="3:39" ht="12.75">
      <c r="C160" s="182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86">
        <v>2984</v>
      </c>
      <c r="K160" s="286"/>
      <c r="L160" s="148">
        <v>277</v>
      </c>
      <c r="M160" s="148">
        <v>12519</v>
      </c>
      <c r="N160" s="155"/>
      <c r="O160" s="148">
        <v>0</v>
      </c>
      <c r="P160" s="155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252">
        <f t="shared" si="17"/>
        <v>115581</v>
      </c>
      <c r="AM160" s="138">
        <f>+AI150*31</f>
        <v>3227472</v>
      </c>
    </row>
    <row r="161" spans="3:36" ht="12.75">
      <c r="C161" s="182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82">
        <v>3008</v>
      </c>
      <c r="K161" s="282"/>
      <c r="L161" s="148">
        <v>291</v>
      </c>
      <c r="M161" s="148">
        <v>12827</v>
      </c>
      <c r="N161" s="155"/>
      <c r="O161" s="148">
        <v>0</v>
      </c>
      <c r="P161" s="155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252">
        <f t="shared" si="17"/>
        <v>115581</v>
      </c>
    </row>
    <row r="162" spans="3:36" ht="12.75">
      <c r="C162" s="182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86">
        <v>2909</v>
      </c>
      <c r="K162" s="286"/>
      <c r="L162" s="148">
        <v>286</v>
      </c>
      <c r="M162" s="148">
        <v>12533</v>
      </c>
      <c r="N162" s="155"/>
      <c r="O162" s="148">
        <v>0</v>
      </c>
      <c r="P162" s="155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252">
        <f t="shared" si="17"/>
        <v>115581</v>
      </c>
    </row>
    <row r="163" spans="3:36" ht="12.75">
      <c r="C163" s="182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82">
        <v>2685</v>
      </c>
      <c r="K163" s="282"/>
      <c r="L163" s="148">
        <v>289</v>
      </c>
      <c r="M163" s="148">
        <v>12580</v>
      </c>
      <c r="N163" s="155"/>
      <c r="O163" s="148">
        <v>0</v>
      </c>
      <c r="P163" s="155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252">
        <f>+AJ162</f>
        <v>115581</v>
      </c>
    </row>
    <row r="164" spans="3:36" ht="12.75">
      <c r="C164" s="182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86">
        <v>2853</v>
      </c>
      <c r="K164" s="286"/>
      <c r="L164" s="148">
        <v>278</v>
      </c>
      <c r="M164" s="148">
        <v>12801</v>
      </c>
      <c r="N164" s="155"/>
      <c r="O164" s="148">
        <v>0</v>
      </c>
      <c r="P164" s="155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252">
        <v>113869</v>
      </c>
    </row>
    <row r="165" spans="3:36" ht="12.75">
      <c r="C165" s="182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82">
        <f>80304/28</f>
        <v>2868</v>
      </c>
      <c r="K165" s="282"/>
      <c r="L165" s="148">
        <v>276.07142857142856</v>
      </c>
      <c r="M165" s="148">
        <f>365428/28</f>
        <v>13051</v>
      </c>
      <c r="N165" s="155"/>
      <c r="O165" s="148">
        <v>0</v>
      </c>
      <c r="P165" s="155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252">
        <f>+AJ164</f>
        <v>113869</v>
      </c>
    </row>
    <row r="166" spans="3:36" ht="12.75">
      <c r="C166" s="182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82">
        <v>2812</v>
      </c>
      <c r="K166" s="282"/>
      <c r="L166" s="148">
        <v>270</v>
      </c>
      <c r="M166" s="148">
        <v>10916</v>
      </c>
      <c r="N166" s="155"/>
      <c r="O166" s="148">
        <v>0</v>
      </c>
      <c r="P166" s="155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252">
        <f>+AJ165</f>
        <v>113869</v>
      </c>
    </row>
    <row r="167" spans="3:36" ht="12.75">
      <c r="C167" s="182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85">
        <f>90267/30</f>
        <v>3008.9</v>
      </c>
      <c r="K167" s="285"/>
      <c r="L167" s="148">
        <v>270.06666666666666</v>
      </c>
      <c r="M167" s="148">
        <f>399928/30</f>
        <v>13330.933333333332</v>
      </c>
      <c r="N167" s="155"/>
      <c r="O167" s="148">
        <v>0</v>
      </c>
      <c r="P167" s="155"/>
      <c r="Q167" s="148">
        <v>14.033333333333333</v>
      </c>
      <c r="R167" s="155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252">
        <f>+AJ166</f>
        <v>113869</v>
      </c>
    </row>
    <row r="168" spans="3:36" ht="12.75">
      <c r="C168" s="182">
        <f t="shared" si="16"/>
        <v>2007.416661300008</v>
      </c>
      <c r="D168" s="152">
        <v>39203</v>
      </c>
      <c r="E168" s="156">
        <f>27814/31</f>
        <v>897.2258064516129</v>
      </c>
      <c r="F168" s="156">
        <f>16066/31</f>
        <v>518.258064516129</v>
      </c>
      <c r="G168" s="148">
        <f>33149/31</f>
        <v>1069.3225806451612</v>
      </c>
      <c r="H168" s="155">
        <f>44764/31</f>
        <v>1444</v>
      </c>
      <c r="I168" s="156">
        <f>6754/31</f>
        <v>217.8709677419355</v>
      </c>
      <c r="J168" s="285">
        <f>91935/31</f>
        <v>2965.6451612903224</v>
      </c>
      <c r="K168" s="285"/>
      <c r="L168" s="156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252">
        <f>+AJ167</f>
        <v>113869</v>
      </c>
    </row>
    <row r="169" spans="3:36" ht="12.75">
      <c r="C169" s="182">
        <f t="shared" si="16"/>
        <v>2007.499994600008</v>
      </c>
      <c r="D169" s="152">
        <v>39234</v>
      </c>
      <c r="E169" s="156">
        <f>25668/30</f>
        <v>855.6</v>
      </c>
      <c r="F169" s="156">
        <f>15362/30</f>
        <v>512.0666666666667</v>
      </c>
      <c r="G169" s="148">
        <f>27660/30</f>
        <v>922</v>
      </c>
      <c r="H169" s="156">
        <f>43522/30</f>
        <v>1450.7333333333333</v>
      </c>
      <c r="I169" s="156">
        <v>169.7</v>
      </c>
      <c r="J169" s="285">
        <f>87309/30</f>
        <v>2910.3</v>
      </c>
      <c r="K169" s="285"/>
      <c r="L169" s="156">
        <v>272.1</v>
      </c>
      <c r="M169" s="156">
        <f>401193/30</f>
        <v>13373.1</v>
      </c>
      <c r="N169" s="156"/>
      <c r="O169" s="156">
        <v>0</v>
      </c>
      <c r="P169" s="156"/>
      <c r="Q169" s="156">
        <v>19.366666666666667</v>
      </c>
      <c r="R169" s="156">
        <v>70.83333333333333</v>
      </c>
      <c r="S169" s="156">
        <f>384802/30</f>
        <v>12826.733333333334</v>
      </c>
      <c r="T169" s="156"/>
      <c r="U169" s="156">
        <f>496462/30</f>
        <v>16548.733333333334</v>
      </c>
      <c r="V169" s="156"/>
      <c r="W169" s="156">
        <f>814946/30</f>
        <v>27164.866666666665</v>
      </c>
      <c r="X169" s="156">
        <f>1096587/30</f>
        <v>36552.9</v>
      </c>
      <c r="Y169" s="156"/>
      <c r="Z169" s="156"/>
      <c r="AA169" s="156">
        <v>337.96666666666664</v>
      </c>
      <c r="AB169" s="156">
        <v>0</v>
      </c>
      <c r="AC169" s="156">
        <f>93718/30</f>
        <v>3123.9333333333334</v>
      </c>
      <c r="AD169" s="156"/>
      <c r="AE169" s="156"/>
      <c r="AF169" s="156"/>
      <c r="AG169" s="156"/>
      <c r="AH169" s="156"/>
      <c r="AI169" s="148">
        <f t="shared" si="15"/>
        <v>117110.93333333332</v>
      </c>
      <c r="AJ169" s="252">
        <f aca="true" t="shared" si="18" ref="AJ169:AJ175">+AJ168</f>
        <v>113869</v>
      </c>
    </row>
    <row r="170" spans="3:36" ht="12.75">
      <c r="C170" s="182">
        <f t="shared" si="16"/>
        <v>2007.583327900008</v>
      </c>
      <c r="D170" s="152">
        <v>39264</v>
      </c>
      <c r="E170" s="156">
        <f>27640/31</f>
        <v>891.6129032258065</v>
      </c>
      <c r="F170" s="156">
        <v>560</v>
      </c>
      <c r="G170" s="156">
        <v>908.2258064516129</v>
      </c>
      <c r="H170" s="156">
        <f>44203/31</f>
        <v>1425.9032258064517</v>
      </c>
      <c r="I170" s="156">
        <v>143.58064516129033</v>
      </c>
      <c r="J170" s="285">
        <f>90019/31</f>
        <v>2903.8387096774195</v>
      </c>
      <c r="K170" s="285"/>
      <c r="L170" s="156">
        <v>269.61290322580646</v>
      </c>
      <c r="M170" s="156">
        <f>416577/31</f>
        <v>13437.967741935483</v>
      </c>
      <c r="N170" s="156"/>
      <c r="O170" s="156">
        <v>5.774193548387097</v>
      </c>
      <c r="P170" s="156"/>
      <c r="Q170" s="156">
        <v>18.93548387096774</v>
      </c>
      <c r="R170" s="156">
        <v>62.96774193548387</v>
      </c>
      <c r="S170" s="156">
        <f>346162/31</f>
        <v>11166.516129032258</v>
      </c>
      <c r="T170" s="156"/>
      <c r="U170" s="156">
        <f>535440/31</f>
        <v>17272.25806451613</v>
      </c>
      <c r="V170" s="156"/>
      <c r="W170" s="156">
        <f>837386/31</f>
        <v>27012.451612903227</v>
      </c>
      <c r="X170" s="156">
        <f>1133924/31</f>
        <v>36578.1935483871</v>
      </c>
      <c r="Y170" s="156"/>
      <c r="Z170" s="156"/>
      <c r="AA170" s="156">
        <v>323.48387096774195</v>
      </c>
      <c r="AB170" s="156">
        <v>0</v>
      </c>
      <c r="AC170" s="156">
        <f>94322/31</f>
        <v>3042.6451612903224</v>
      </c>
      <c r="AD170" s="156"/>
      <c r="AE170" s="156"/>
      <c r="AF170" s="156"/>
      <c r="AG170" s="156"/>
      <c r="AH170" s="156"/>
      <c r="AI170" s="148">
        <f t="shared" si="15"/>
        <v>116023.96774193548</v>
      </c>
      <c r="AJ170" s="252">
        <f t="shared" si="18"/>
        <v>113869</v>
      </c>
    </row>
    <row r="171" spans="3:36" ht="12.75">
      <c r="C171" s="182">
        <f t="shared" si="16"/>
        <v>2007.666661200008</v>
      </c>
      <c r="D171" s="152">
        <v>39295</v>
      </c>
      <c r="E171" s="156">
        <f>24742/31</f>
        <v>798.1290322580645</v>
      </c>
      <c r="F171" s="156">
        <v>590.2903225806451</v>
      </c>
      <c r="G171" s="156">
        <v>947.3548387096774</v>
      </c>
      <c r="H171" s="156">
        <f>57029/31</f>
        <v>1839.6451612903227</v>
      </c>
      <c r="I171" s="156">
        <v>137.2258064516129</v>
      </c>
      <c r="J171" s="285">
        <f>89184/31</f>
        <v>2876.9032258064517</v>
      </c>
      <c r="K171" s="285"/>
      <c r="L171" s="156">
        <v>268.3225806451613</v>
      </c>
      <c r="M171" s="156">
        <f>411277/31</f>
        <v>13267</v>
      </c>
      <c r="N171" s="156"/>
      <c r="O171" s="156">
        <v>0.7741935483870968</v>
      </c>
      <c r="P171" s="156"/>
      <c r="Q171" s="156">
        <v>18.774193548387096</v>
      </c>
      <c r="R171" s="156">
        <v>54.29032258064516</v>
      </c>
      <c r="S171" s="156">
        <f>301436/31</f>
        <v>9723.741935483871</v>
      </c>
      <c r="T171" s="156"/>
      <c r="U171" s="156">
        <f>561219/31</f>
        <v>18103.83870967742</v>
      </c>
      <c r="V171" s="156"/>
      <c r="W171" s="156">
        <f>830178/31</f>
        <v>26779.935483870966</v>
      </c>
      <c r="X171" s="156">
        <f>842794/31</f>
        <v>27186.90322580645</v>
      </c>
      <c r="Y171" s="156"/>
      <c r="Z171" s="156"/>
      <c r="AA171" s="156">
        <v>671.0967741935484</v>
      </c>
      <c r="AB171" s="156">
        <v>0</v>
      </c>
      <c r="AC171" s="156">
        <f>94214/31</f>
        <v>3039.1612903225805</v>
      </c>
      <c r="AD171" s="156"/>
      <c r="AE171" s="156"/>
      <c r="AF171" s="156"/>
      <c r="AG171" s="156"/>
      <c r="AH171" s="156"/>
      <c r="AI171" s="148">
        <f t="shared" si="15"/>
        <v>106303.38709677418</v>
      </c>
      <c r="AJ171" s="252">
        <f t="shared" si="18"/>
        <v>113869</v>
      </c>
    </row>
    <row r="172" spans="3:36" ht="12.75">
      <c r="C172" s="182">
        <f t="shared" si="16"/>
        <v>2007.7499945000081</v>
      </c>
      <c r="D172" s="152">
        <v>39326</v>
      </c>
      <c r="E172" s="156">
        <f>25027/30</f>
        <v>834.2333333333333</v>
      </c>
      <c r="F172" s="156">
        <f>17461/30</f>
        <v>582.0333333333333</v>
      </c>
      <c r="G172" s="156">
        <f>33656/30</f>
        <v>1121.8666666666666</v>
      </c>
      <c r="H172" s="156">
        <f>62607/30</f>
        <v>2086.9</v>
      </c>
      <c r="I172" s="156">
        <f>3919/30</f>
        <v>130.63333333333333</v>
      </c>
      <c r="J172" s="285">
        <f>86428/30</f>
        <v>2880.9333333333334</v>
      </c>
      <c r="K172" s="285"/>
      <c r="L172" s="156">
        <f>8015/30</f>
        <v>267.1666666666667</v>
      </c>
      <c r="M172" s="156">
        <f>395013/30</f>
        <v>13167.1</v>
      </c>
      <c r="N172" s="156"/>
      <c r="O172" s="156">
        <f>10506/30</f>
        <v>350.2</v>
      </c>
      <c r="P172" s="156"/>
      <c r="Q172" s="156">
        <f>526/30</f>
        <v>17.533333333333335</v>
      </c>
      <c r="R172" s="156">
        <f>1459/30</f>
        <v>48.63333333333333</v>
      </c>
      <c r="S172" s="156">
        <f>375538/30</f>
        <v>12517.933333333332</v>
      </c>
      <c r="T172" s="156"/>
      <c r="U172" s="156">
        <f>492638/30</f>
        <v>16421.266666666666</v>
      </c>
      <c r="V172" s="156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252">
        <f t="shared" si="18"/>
        <v>113869</v>
      </c>
    </row>
    <row r="173" spans="3:36" ht="12.75">
      <c r="C173" s="182">
        <f t="shared" si="16"/>
        <v>2007.8333278000082</v>
      </c>
      <c r="D173" s="152">
        <v>39356</v>
      </c>
      <c r="E173" s="156">
        <f>31166/31</f>
        <v>1005.3548387096774</v>
      </c>
      <c r="F173" s="156">
        <f>16946/31</f>
        <v>546.6451612903226</v>
      </c>
      <c r="G173" s="156">
        <f>40251/31</f>
        <v>1298.4193548387098</v>
      </c>
      <c r="H173" s="156">
        <f>60333/31</f>
        <v>1946.225806451613</v>
      </c>
      <c r="I173" s="156">
        <v>165.3548387096774</v>
      </c>
      <c r="J173" s="285">
        <f>87919/31</f>
        <v>2836.0967741935483</v>
      </c>
      <c r="K173" s="285"/>
      <c r="L173" s="156">
        <v>260.64516129032256</v>
      </c>
      <c r="M173" s="156">
        <f>414430/31</f>
        <v>13368.709677419354</v>
      </c>
      <c r="N173" s="156"/>
      <c r="O173" s="156">
        <f>52576/31</f>
        <v>1696</v>
      </c>
      <c r="P173" s="156"/>
      <c r="Q173" s="156">
        <v>18.806451612903224</v>
      </c>
      <c r="R173" s="156">
        <v>42.61290322580645</v>
      </c>
      <c r="S173" s="156">
        <f>315431/31</f>
        <v>10175.193548387097</v>
      </c>
      <c r="T173" s="156"/>
      <c r="U173" s="156">
        <f>529512/31</f>
        <v>17081.032258064515</v>
      </c>
      <c r="V173" s="156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252">
        <f t="shared" si="18"/>
        <v>113869</v>
      </c>
    </row>
    <row r="174" spans="3:36" ht="12.75">
      <c r="C174" s="182">
        <f t="shared" si="16"/>
        <v>2007.9166611000082</v>
      </c>
      <c r="D174" s="152">
        <v>39387</v>
      </c>
      <c r="E174" s="156">
        <f>30887/30</f>
        <v>1029.5666666666666</v>
      </c>
      <c r="F174" s="155">
        <f>18480/30</f>
        <v>616</v>
      </c>
      <c r="G174" s="156">
        <f>37419/30</f>
        <v>1247.3</v>
      </c>
      <c r="H174" s="156">
        <f>52127/30</f>
        <v>1737.5666666666666</v>
      </c>
      <c r="I174" s="156">
        <f>5034/30</f>
        <v>167.8</v>
      </c>
      <c r="J174" s="285">
        <f>84130/30</f>
        <v>2804.3333333333335</v>
      </c>
      <c r="K174" s="285"/>
      <c r="L174" s="156">
        <f>7857/30</f>
        <v>261.9</v>
      </c>
      <c r="M174" s="156">
        <f>412072/30</f>
        <v>13735.733333333334</v>
      </c>
      <c r="N174" s="155"/>
      <c r="O174" s="156">
        <f>21123/30</f>
        <v>704.1</v>
      </c>
      <c r="P174" s="155"/>
      <c r="Q174" s="156">
        <f>576/30</f>
        <v>19.2</v>
      </c>
      <c r="R174" s="156">
        <f>1397/30</f>
        <v>46.56666666666667</v>
      </c>
      <c r="S174" s="155">
        <f>362160/30</f>
        <v>12072</v>
      </c>
      <c r="T174" s="155"/>
      <c r="U174" s="156">
        <f>489913/30</f>
        <v>16330.433333333332</v>
      </c>
      <c r="V174" s="156"/>
      <c r="W174" s="148">
        <f>721327/30</f>
        <v>24044.233333333334</v>
      </c>
      <c r="X174" s="155">
        <f>1084950/30</f>
        <v>36165</v>
      </c>
      <c r="Y174" s="155"/>
      <c r="Z174" s="155"/>
      <c r="AA174" s="156">
        <f>11184/30</f>
        <v>372.8</v>
      </c>
      <c r="AB174" s="156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252">
        <f>+AJ173</f>
        <v>113869</v>
      </c>
    </row>
    <row r="175" spans="3:36" ht="12.75">
      <c r="C175" s="182">
        <f t="shared" si="16"/>
        <v>2007.9999944000083</v>
      </c>
      <c r="D175" s="152">
        <v>39417</v>
      </c>
      <c r="E175" s="156">
        <f>31956/31</f>
        <v>1030.8387096774193</v>
      </c>
      <c r="F175" s="156">
        <f>20923/31</f>
        <v>674.9354838709677</v>
      </c>
      <c r="G175" s="156">
        <f>37576/31</f>
        <v>1212.1290322580646</v>
      </c>
      <c r="H175" s="156">
        <f>51632/31</f>
        <v>1665.5483870967741</v>
      </c>
      <c r="I175" s="156">
        <f>5269/31</f>
        <v>169.96774193548387</v>
      </c>
      <c r="J175" s="285">
        <f>82208/31</f>
        <v>2651.8709677419356</v>
      </c>
      <c r="K175" s="285"/>
      <c r="L175" s="156">
        <f>7761/31</f>
        <v>250.3548387096774</v>
      </c>
      <c r="M175" s="156">
        <f>438636/31</f>
        <v>14149.548387096775</v>
      </c>
      <c r="N175" s="155"/>
      <c r="O175" s="156">
        <f>38237/31</f>
        <v>1233.4516129032259</v>
      </c>
      <c r="P175" s="155"/>
      <c r="Q175" s="157">
        <f>593/31</f>
        <v>19.129032258064516</v>
      </c>
      <c r="R175" s="156">
        <v>44.645161290322584</v>
      </c>
      <c r="S175" s="156">
        <f>411577/31</f>
        <v>13276.677419354839</v>
      </c>
      <c r="T175" s="156">
        <v>927.258064516129</v>
      </c>
      <c r="U175" s="156">
        <f>531766/31</f>
        <v>17153.74193548387</v>
      </c>
      <c r="V175" s="156"/>
      <c r="W175" s="156">
        <f>756499/31</f>
        <v>24403.1935483871</v>
      </c>
      <c r="X175" s="156">
        <f>1115578/31</f>
        <v>35986.3870967742</v>
      </c>
      <c r="Y175" s="156"/>
      <c r="Z175" s="156"/>
      <c r="AA175" s="156">
        <f>15808/31</f>
        <v>509.93548387096774</v>
      </c>
      <c r="AB175" s="156">
        <v>0</v>
      </c>
      <c r="AC175" s="156">
        <f>89161/31</f>
        <v>2876.1612903225805</v>
      </c>
      <c r="AD175" s="156"/>
      <c r="AE175" s="156"/>
      <c r="AF175" s="156"/>
      <c r="AG175" s="156"/>
      <c r="AH175" s="156"/>
      <c r="AI175" s="148">
        <f t="shared" si="15"/>
        <v>118235.7741935484</v>
      </c>
      <c r="AJ175" s="252">
        <f t="shared" si="18"/>
        <v>113869</v>
      </c>
    </row>
    <row r="176" spans="3:36" ht="12.75">
      <c r="C176" s="182">
        <f t="shared" si="16"/>
        <v>2008.0833277000083</v>
      </c>
      <c r="D176" s="152">
        <v>39448</v>
      </c>
      <c r="E176" s="156">
        <f>27460/31</f>
        <v>885.8064516129032</v>
      </c>
      <c r="F176" s="156">
        <f>19191/31</f>
        <v>619.0645161290323</v>
      </c>
      <c r="G176" s="155">
        <f>37231/31</f>
        <v>1201</v>
      </c>
      <c r="H176" s="156">
        <f>62897/31</f>
        <v>2028.9354838709678</v>
      </c>
      <c r="I176" s="156">
        <f>5539/31</f>
        <v>178.67741935483872</v>
      </c>
      <c r="J176" s="285">
        <f>86419/31</f>
        <v>2787.7096774193546</v>
      </c>
      <c r="K176" s="285"/>
      <c r="L176" s="155">
        <f>7906/31</f>
        <v>255.03225806451613</v>
      </c>
      <c r="M176" s="156">
        <f>433049/31</f>
        <v>13969.322580645161</v>
      </c>
      <c r="N176" s="155"/>
      <c r="O176" s="156">
        <f>39602/31</f>
        <v>1277.483870967742</v>
      </c>
      <c r="P176" s="155"/>
      <c r="Q176" s="156">
        <f>613/31</f>
        <v>19.774193548387096</v>
      </c>
      <c r="R176" s="156">
        <f>1340/31</f>
        <v>43.225806451612904</v>
      </c>
      <c r="S176" s="156">
        <f>366153/31</f>
        <v>11811.387096774193</v>
      </c>
      <c r="T176" s="156">
        <f>29274/31</f>
        <v>944.3225806451613</v>
      </c>
      <c r="U176" s="156">
        <f>523996/31</f>
        <v>16903.09677419355</v>
      </c>
      <c r="V176" s="156"/>
      <c r="W176" s="156">
        <f>742056/31</f>
        <v>23937.290322580644</v>
      </c>
      <c r="X176" s="155">
        <f>851043/31</f>
        <v>27453</v>
      </c>
      <c r="Y176" s="155"/>
      <c r="Z176" s="155"/>
      <c r="AA176" s="156">
        <f>10672/31</f>
        <v>344.258064516129</v>
      </c>
      <c r="AB176" s="156">
        <v>0</v>
      </c>
      <c r="AC176" s="156">
        <f>86664/31</f>
        <v>2795.6129032258063</v>
      </c>
      <c r="AD176" s="156"/>
      <c r="AE176" s="156"/>
      <c r="AF176" s="156"/>
      <c r="AG176" s="156"/>
      <c r="AH176" s="156"/>
      <c r="AI176" s="148">
        <f t="shared" si="15"/>
        <v>107455</v>
      </c>
      <c r="AJ176" s="252">
        <v>120028</v>
      </c>
    </row>
    <row r="177" spans="3:36" ht="12.75">
      <c r="C177" s="182">
        <f t="shared" si="16"/>
        <v>2008.1666610000084</v>
      </c>
      <c r="D177" s="152">
        <v>39479</v>
      </c>
      <c r="E177" s="156">
        <f>24932/29</f>
        <v>859.7241379310345</v>
      </c>
      <c r="F177" s="156">
        <f>18208/29</f>
        <v>627.8620689655172</v>
      </c>
      <c r="G177" s="156">
        <f>31630/29</f>
        <v>1090.6896551724137</v>
      </c>
      <c r="H177" s="156">
        <f>56256/29</f>
        <v>1939.8620689655172</v>
      </c>
      <c r="I177" s="156">
        <f>5448/29</f>
        <v>187.86206896551724</v>
      </c>
      <c r="J177" s="285">
        <f>74593/29</f>
        <v>2572.1724137931033</v>
      </c>
      <c r="K177" s="285"/>
      <c r="L177" s="155">
        <f>7336/29</f>
        <v>252.9655172413793</v>
      </c>
      <c r="M177" s="156">
        <f>406943/29</f>
        <v>14032.51724137931</v>
      </c>
      <c r="N177" s="155"/>
      <c r="O177" s="156">
        <f>42838/29</f>
        <v>1477.1724137931035</v>
      </c>
      <c r="P177" s="155"/>
      <c r="Q177" s="157">
        <f>578/29</f>
        <v>19.93103448275862</v>
      </c>
      <c r="R177" s="155">
        <f>1189/29</f>
        <v>41</v>
      </c>
      <c r="S177" s="156">
        <f>311917/29</f>
        <v>10755.758620689656</v>
      </c>
      <c r="T177" s="156">
        <f>27704/29</f>
        <v>955.3103448275862</v>
      </c>
      <c r="U177" s="156">
        <f>465697/29</f>
        <v>16058.51724137931</v>
      </c>
      <c r="V177" s="156"/>
      <c r="W177" s="156">
        <f>737319/29</f>
        <v>25424.793103448275</v>
      </c>
      <c r="X177" s="156">
        <f>1006690/29</f>
        <v>34713.44827586207</v>
      </c>
      <c r="Y177" s="156"/>
      <c r="Z177" s="156"/>
      <c r="AA177" s="156">
        <f>11246/29</f>
        <v>387.7931034482759</v>
      </c>
      <c r="AB177" s="156">
        <v>0</v>
      </c>
      <c r="AC177" s="156">
        <f>78952/29</f>
        <v>2722.4827586206898</v>
      </c>
      <c r="AD177" s="156"/>
      <c r="AE177" s="156"/>
      <c r="AF177" s="156"/>
      <c r="AG177" s="156"/>
      <c r="AH177" s="156"/>
      <c r="AI177" s="148">
        <f t="shared" si="15"/>
        <v>114119.86206896554</v>
      </c>
      <c r="AJ177" s="252">
        <f aca="true" t="shared" si="19" ref="AJ177:AJ187">+AJ176</f>
        <v>120028</v>
      </c>
    </row>
    <row r="178" spans="3:36" ht="12.75">
      <c r="C178" s="182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82">
        <f>85577/31</f>
        <v>2760.548387096774</v>
      </c>
      <c r="K178" s="282"/>
      <c r="L178" s="148">
        <v>253.6451612903226</v>
      </c>
      <c r="M178" s="148">
        <f>441726/31</f>
        <v>14249.225806451614</v>
      </c>
      <c r="N178" s="148"/>
      <c r="O178" s="156">
        <f>50874/31</f>
        <v>1641.0967741935483</v>
      </c>
      <c r="P178" s="148"/>
      <c r="Q178" s="157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252">
        <f t="shared" si="19"/>
        <v>120028</v>
      </c>
    </row>
    <row r="179" spans="3:36" ht="12.75">
      <c r="C179" s="182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82">
        <f>82758/30</f>
        <v>2758.6</v>
      </c>
      <c r="K179" s="282"/>
      <c r="L179" s="148">
        <f>7708/30</f>
        <v>256.93333333333334</v>
      </c>
      <c r="M179" s="148">
        <f>420146/30</f>
        <v>14004.866666666667</v>
      </c>
      <c r="N179" s="155"/>
      <c r="O179" s="156">
        <f>35735/30</f>
        <v>1191.1666666666667</v>
      </c>
      <c r="P179" s="155"/>
      <c r="Q179" s="157">
        <f>567/30</f>
        <v>18.9</v>
      </c>
      <c r="R179" s="156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252">
        <f t="shared" si="19"/>
        <v>120028</v>
      </c>
    </row>
    <row r="180" spans="3:36" ht="12.75">
      <c r="C180" s="182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85">
        <f>85851/31</f>
        <v>2769.3870967741937</v>
      </c>
      <c r="K180" s="285"/>
      <c r="L180" s="148">
        <v>246.32258064516128</v>
      </c>
      <c r="M180" s="148">
        <f>435871/31</f>
        <v>14060.354838709678</v>
      </c>
      <c r="N180" s="155"/>
      <c r="O180" s="156">
        <f>62021/31</f>
        <v>2000.6774193548388</v>
      </c>
      <c r="P180" s="155"/>
      <c r="Q180" s="157">
        <f>563/31</f>
        <v>18.161290322580644</v>
      </c>
      <c r="R180" s="156">
        <f>1208/31</f>
        <v>38.96774193548387</v>
      </c>
      <c r="S180" s="148">
        <f>342218/31</f>
        <v>11039.290322580646</v>
      </c>
      <c r="T180" s="155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252">
        <f t="shared" si="19"/>
        <v>120028</v>
      </c>
    </row>
    <row r="181" spans="3:36" ht="12.75">
      <c r="C181" s="182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85">
        <f>87560/30</f>
        <v>2918.6666666666665</v>
      </c>
      <c r="K181" s="285"/>
      <c r="L181" s="148">
        <v>248.56666666666666</v>
      </c>
      <c r="M181" s="148">
        <f>425207/30</f>
        <v>14173.566666666668</v>
      </c>
      <c r="N181" s="155"/>
      <c r="O181" s="156">
        <f>62695/30</f>
        <v>2089.8333333333335</v>
      </c>
      <c r="P181" s="155"/>
      <c r="Q181" s="157">
        <f>545/30</f>
        <v>18.166666666666668</v>
      </c>
      <c r="R181" s="156">
        <f>1034/30</f>
        <v>34.46666666666667</v>
      </c>
      <c r="S181" s="148">
        <f>310053/30</f>
        <v>10335.1</v>
      </c>
      <c r="T181" s="156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252">
        <f t="shared" si="19"/>
        <v>120028</v>
      </c>
    </row>
    <row r="182" spans="3:36" ht="12.75">
      <c r="C182" s="182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85">
        <f>88738/31</f>
        <v>2862.516129032258</v>
      </c>
      <c r="K182" s="285"/>
      <c r="L182" s="148">
        <v>274.8709677419355</v>
      </c>
      <c r="M182" s="148">
        <f>433375/31</f>
        <v>13979.838709677419</v>
      </c>
      <c r="N182" s="155"/>
      <c r="O182" s="156">
        <f>76545/31</f>
        <v>2469.1935483870966</v>
      </c>
      <c r="P182" s="155"/>
      <c r="Q182" s="157">
        <f>563/31</f>
        <v>18.161290322580644</v>
      </c>
      <c r="R182" s="157">
        <f>1074/31</f>
        <v>34.645161290322584</v>
      </c>
      <c r="S182" s="148">
        <f>360743/31</f>
        <v>11636.870967741936</v>
      </c>
      <c r="T182" s="156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252">
        <f t="shared" si="19"/>
        <v>120028</v>
      </c>
    </row>
    <row r="183" spans="3:36" ht="12.75">
      <c r="C183" s="182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82">
        <f>88926/31</f>
        <v>2868.5806451612902</v>
      </c>
      <c r="K183" s="282"/>
      <c r="L183" s="148">
        <v>271.5483870967742</v>
      </c>
      <c r="M183" s="148">
        <f>441805/31</f>
        <v>14251.774193548386</v>
      </c>
      <c r="N183" s="148"/>
      <c r="O183" s="156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252">
        <f t="shared" si="19"/>
        <v>120028</v>
      </c>
    </row>
    <row r="184" spans="3:36" ht="12.75">
      <c r="C184" s="182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82">
        <f>86401/30</f>
        <v>2880.0333333333333</v>
      </c>
      <c r="K184" s="282"/>
      <c r="L184" s="148">
        <v>267.3666666666667</v>
      </c>
      <c r="M184" s="148">
        <f>418980/30</f>
        <v>13966</v>
      </c>
      <c r="N184" s="148"/>
      <c r="O184" s="156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252">
        <f t="shared" si="19"/>
        <v>120028</v>
      </c>
    </row>
    <row r="185" spans="3:36" ht="12.75">
      <c r="C185" s="182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82">
        <v>2812</v>
      </c>
      <c r="K185" s="282"/>
      <c r="L185" s="148">
        <v>292</v>
      </c>
      <c r="M185" s="148">
        <v>13614</v>
      </c>
      <c r="N185" s="148"/>
      <c r="O185" s="156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252">
        <f t="shared" si="19"/>
        <v>120028</v>
      </c>
    </row>
    <row r="186" spans="3:36" ht="12.75">
      <c r="C186" s="182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82">
        <f>80326/30</f>
        <v>2677.5333333333333</v>
      </c>
      <c r="K186" s="282"/>
      <c r="L186" s="148">
        <f>8778/30</f>
        <v>292.6</v>
      </c>
      <c r="M186" s="148">
        <f>445429/30</f>
        <v>14847.633333333333</v>
      </c>
      <c r="N186" s="148"/>
      <c r="O186" s="156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252">
        <f t="shared" si="19"/>
        <v>120028</v>
      </c>
    </row>
    <row r="187" spans="3:36" ht="12.75">
      <c r="C187" s="182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82">
        <f>79547/31</f>
        <v>2566.032258064516</v>
      </c>
      <c r="K187" s="282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252">
        <f t="shared" si="19"/>
        <v>120028</v>
      </c>
    </row>
    <row r="188" spans="3:36" ht="12.75">
      <c r="C188" s="182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82">
        <f>84836/31</f>
        <v>2736.6451612903224</v>
      </c>
      <c r="K188" s="282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252">
        <v>145280</v>
      </c>
    </row>
    <row r="189" spans="3:36" ht="12.75">
      <c r="C189" s="182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82">
        <f>77894/28</f>
        <v>2781.9285714285716</v>
      </c>
      <c r="K189" s="282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252">
        <f aca="true" t="shared" si="21" ref="AJ189:AJ207">+AJ188</f>
        <v>145280</v>
      </c>
    </row>
    <row r="190" spans="3:36" ht="12.75">
      <c r="C190" s="182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82">
        <f>85996/31</f>
        <v>2774.064516129032</v>
      </c>
      <c r="K190" s="282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252">
        <f t="shared" si="21"/>
        <v>145280</v>
      </c>
    </row>
    <row r="191" spans="3:36" ht="12.75">
      <c r="C191" s="182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82">
        <f>79835/30</f>
        <v>2661.1666666666665</v>
      </c>
      <c r="K191" s="282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252">
        <f t="shared" si="21"/>
        <v>145280</v>
      </c>
    </row>
    <row r="192" spans="3:36" ht="12.75">
      <c r="C192" s="182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82">
        <f>85955/31</f>
        <v>2772.7419354838707</v>
      </c>
      <c r="K192" s="282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252">
        <f t="shared" si="21"/>
        <v>145280</v>
      </c>
    </row>
    <row r="193" spans="3:36" ht="12.75">
      <c r="C193" s="182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82">
        <f>83911/30</f>
        <v>2797.0333333333333</v>
      </c>
      <c r="K193" s="282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252">
        <f t="shared" si="21"/>
        <v>145280</v>
      </c>
    </row>
    <row r="194" spans="3:36" ht="12.75">
      <c r="C194" s="182">
        <f t="shared" si="20"/>
        <v>2009.5833271000092</v>
      </c>
      <c r="D194" s="152">
        <v>39995</v>
      </c>
      <c r="E194" s="148">
        <f>24682/31</f>
        <v>796.1935483870968</v>
      </c>
      <c r="F194" s="158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82">
        <f>84624/31</f>
        <v>2729.8064516129034</v>
      </c>
      <c r="K194" s="282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252">
        <f t="shared" si="21"/>
        <v>145280</v>
      </c>
    </row>
    <row r="195" spans="3:36" ht="12.75">
      <c r="C195" s="182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82">
        <f>90419/31</f>
        <v>2916.7419354838707</v>
      </c>
      <c r="K195" s="282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252">
        <f t="shared" si="21"/>
        <v>145280</v>
      </c>
    </row>
    <row r="196" spans="3:36" ht="12.75">
      <c r="C196" s="182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82">
        <f>90750/30</f>
        <v>3025</v>
      </c>
      <c r="K196" s="282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252">
        <f t="shared" si="21"/>
        <v>145280</v>
      </c>
    </row>
    <row r="197" spans="3:36" ht="12.75">
      <c r="C197" s="182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82">
        <f>107300/31</f>
        <v>3461.2903225806454</v>
      </c>
      <c r="K197" s="282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252">
        <f t="shared" si="21"/>
        <v>145280</v>
      </c>
    </row>
    <row r="198" spans="3:36" ht="12.75">
      <c r="C198" s="182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82">
        <f>108534/30</f>
        <v>3617.8</v>
      </c>
      <c r="K198" s="282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6">
        <f>11746/30</f>
        <v>391.53333333333336</v>
      </c>
      <c r="AB198" s="156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252">
        <f t="shared" si="21"/>
        <v>145280</v>
      </c>
    </row>
    <row r="199" spans="3:36" ht="12.75">
      <c r="C199" s="182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82">
        <f>103950/31</f>
        <v>3353.2258064516127</v>
      </c>
      <c r="K199" s="282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252">
        <f t="shared" si="21"/>
        <v>145280</v>
      </c>
    </row>
    <row r="200" spans="3:36" ht="12.75">
      <c r="C200" s="182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82">
        <f>120268/31</f>
        <v>3879.6129032258063</v>
      </c>
      <c r="K200" s="282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254">
        <v>157159</v>
      </c>
    </row>
    <row r="201" spans="3:36" s="138" customFormat="1" ht="12.75">
      <c r="C201" s="182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82">
        <f>93325/28</f>
        <v>3333.035714285714</v>
      </c>
      <c r="K201" s="282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254">
        <f>+AJ200</f>
        <v>157159</v>
      </c>
    </row>
    <row r="202" spans="3:36" s="138" customFormat="1" ht="12.75">
      <c r="C202" s="182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82">
        <f>109834/31</f>
        <v>3543.032258064516</v>
      </c>
      <c r="K202" s="282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254">
        <f t="shared" si="21"/>
        <v>157159</v>
      </c>
    </row>
    <row r="203" spans="3:36" s="138" customFormat="1" ht="12.75">
      <c r="C203" s="182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82">
        <f>110030/30</f>
        <v>3667.6666666666665</v>
      </c>
      <c r="K203" s="282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254">
        <f t="shared" si="21"/>
        <v>157159</v>
      </c>
    </row>
    <row r="204" spans="3:36" ht="12.75">
      <c r="C204" s="182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82">
        <f>97085/31</f>
        <v>3131.7741935483873</v>
      </c>
      <c r="K204" s="282"/>
      <c r="L204" s="148">
        <v>244.41935483870967</v>
      </c>
      <c r="M204" s="151">
        <f>410301/31</f>
        <v>13235.516129032258</v>
      </c>
      <c r="N204" s="159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254">
        <f t="shared" si="21"/>
        <v>157159</v>
      </c>
    </row>
    <row r="205" spans="3:36" ht="12.75">
      <c r="C205" s="182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82">
        <f>106530/30</f>
        <v>3551</v>
      </c>
      <c r="K205" s="282"/>
      <c r="L205" s="148">
        <v>244.53333333333333</v>
      </c>
      <c r="M205" s="148">
        <f>393424/30</f>
        <v>13114.133333333333</v>
      </c>
      <c r="N205" s="159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0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254">
        <f t="shared" si="21"/>
        <v>157159</v>
      </c>
    </row>
    <row r="206" spans="3:63" ht="12.75">
      <c r="C206" s="182">
        <f aca="true" t="shared" si="22" ref="C206:C269">+C205+0.0833333</f>
        <v>2010.5833267000098</v>
      </c>
      <c r="D206" s="152">
        <v>40360</v>
      </c>
      <c r="E206" s="161">
        <f>33330/31</f>
        <v>1075.1612903225807</v>
      </c>
      <c r="F206" s="161">
        <v>575.7096774193549</v>
      </c>
      <c r="G206" s="161">
        <f>65941/31</f>
        <v>2127.1290322580644</v>
      </c>
      <c r="H206" s="161">
        <v>939.2258064516129</v>
      </c>
      <c r="I206" s="161">
        <v>195.7741935483871</v>
      </c>
      <c r="J206" s="282">
        <f>91473/31</f>
        <v>2950.7419354838707</v>
      </c>
      <c r="K206" s="282"/>
      <c r="L206" s="161">
        <v>243.03225806451613</v>
      </c>
      <c r="M206" s="161">
        <f>410252/31</f>
        <v>13233.935483870968</v>
      </c>
      <c r="N206" s="161"/>
      <c r="O206" s="161">
        <f>121359/31</f>
        <v>3914.8064516129034</v>
      </c>
      <c r="P206" s="161"/>
      <c r="Q206" s="161">
        <v>18.032258064516128</v>
      </c>
      <c r="R206" s="161">
        <v>54.096774193548384</v>
      </c>
      <c r="S206" s="161">
        <f>+(312455+33268)/31</f>
        <v>11152.354838709678</v>
      </c>
      <c r="T206" s="161">
        <f>137515/31</f>
        <v>4435.967741935484</v>
      </c>
      <c r="U206" s="161">
        <f>368601/31</f>
        <v>11890.354838709678</v>
      </c>
      <c r="V206" s="161"/>
      <c r="W206" s="161">
        <f>594075/31</f>
        <v>19163.709677419356</v>
      </c>
      <c r="X206" s="161">
        <f>1535243/31</f>
        <v>49523.967741935485</v>
      </c>
      <c r="Y206" s="161">
        <f>1020405/31</f>
        <v>32916.290322580644</v>
      </c>
      <c r="Z206" s="161"/>
      <c r="AA206" s="161">
        <v>333.5806451612903</v>
      </c>
      <c r="AB206" s="161">
        <v>107.3225806451613</v>
      </c>
      <c r="AC206" s="161">
        <f>67103/31</f>
        <v>2164.6129032258063</v>
      </c>
      <c r="AD206" s="161"/>
      <c r="AE206" s="161"/>
      <c r="AF206" s="161"/>
      <c r="AG206" s="161"/>
      <c r="AH206" s="161"/>
      <c r="AI206" s="148">
        <f t="shared" si="15"/>
        <v>157015.8064516129</v>
      </c>
      <c r="AJ206" s="254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2">
        <f t="shared" si="22"/>
        <v>2010.6666600000099</v>
      </c>
      <c r="D207" s="152">
        <v>40391</v>
      </c>
      <c r="E207" s="161">
        <v>972.258064516129</v>
      </c>
      <c r="F207" s="161">
        <f>17801/31</f>
        <v>574.2258064516129</v>
      </c>
      <c r="G207" s="161">
        <f>69904/31</f>
        <v>2254.967741935484</v>
      </c>
      <c r="H207" s="161">
        <f>29581/31</f>
        <v>954.2258064516129</v>
      </c>
      <c r="I207" s="161">
        <f>6124/31</f>
        <v>197.5483870967742</v>
      </c>
      <c r="J207" s="282">
        <f>81817/31</f>
        <v>2639.2580645161293</v>
      </c>
      <c r="K207" s="282"/>
      <c r="L207" s="161">
        <f>7502/31</f>
        <v>242</v>
      </c>
      <c r="M207" s="161">
        <f>405065/31</f>
        <v>13066.612903225807</v>
      </c>
      <c r="N207" s="161"/>
      <c r="O207" s="161">
        <f>113577/31</f>
        <v>3663.7741935483873</v>
      </c>
      <c r="P207" s="161"/>
      <c r="Q207" s="161">
        <f>550/31</f>
        <v>17.741935483870968</v>
      </c>
      <c r="R207" s="161">
        <f>1798/31</f>
        <v>58</v>
      </c>
      <c r="S207" s="161">
        <f>(402002+34539)/31</f>
        <v>14081.967741935483</v>
      </c>
      <c r="T207" s="161">
        <f>64858/31</f>
        <v>2092.1935483870966</v>
      </c>
      <c r="U207" s="161">
        <f>360513/31</f>
        <v>11629.451612903225</v>
      </c>
      <c r="V207" s="161"/>
      <c r="W207" s="161">
        <f>590823/31</f>
        <v>19058.8064516129</v>
      </c>
      <c r="X207" s="161">
        <f>1548446/31</f>
        <v>49949.87096774193</v>
      </c>
      <c r="Y207" s="161">
        <f>1026096/31</f>
        <v>33099.87096774193</v>
      </c>
      <c r="Z207" s="161"/>
      <c r="AA207" s="161">
        <f>11781/31</f>
        <v>380.03225806451616</v>
      </c>
      <c r="AB207" s="161">
        <f>2959/31</f>
        <v>95.45161290322581</v>
      </c>
      <c r="AC207" s="161">
        <f>80415/31</f>
        <v>2594.032258064516</v>
      </c>
      <c r="AD207" s="161"/>
      <c r="AE207" s="161"/>
      <c r="AF207" s="161"/>
      <c r="AG207" s="161"/>
      <c r="AH207" s="161"/>
      <c r="AI207" s="148">
        <f t="shared" si="15"/>
        <v>157622.29032258064</v>
      </c>
      <c r="AJ207" s="254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2">
        <f t="shared" si="22"/>
        <v>2010.74999330001</v>
      </c>
      <c r="D208" s="152">
        <v>40422</v>
      </c>
      <c r="E208" s="161">
        <f>34118/30</f>
        <v>1137.2666666666667</v>
      </c>
      <c r="F208" s="161">
        <v>559.9</v>
      </c>
      <c r="G208" s="161">
        <f>97895/30</f>
        <v>3263.1666666666665</v>
      </c>
      <c r="H208" s="161">
        <v>940.5666666666667</v>
      </c>
      <c r="I208" s="161">
        <v>178.63333333333333</v>
      </c>
      <c r="J208" s="282">
        <f>80223/30</f>
        <v>2674.1</v>
      </c>
      <c r="K208" s="282"/>
      <c r="L208" s="161">
        <v>245.9</v>
      </c>
      <c r="M208" s="161">
        <f>396069/30</f>
        <v>13202.3</v>
      </c>
      <c r="N208" s="161"/>
      <c r="O208" s="161">
        <f>117277/30</f>
        <v>3909.233333333333</v>
      </c>
      <c r="P208" s="161"/>
      <c r="Q208" s="161">
        <v>17.733333333333334</v>
      </c>
      <c r="R208" s="161">
        <v>52.5</v>
      </c>
      <c r="S208" s="161">
        <f>(423324+32846)/30</f>
        <v>15205.666666666666</v>
      </c>
      <c r="T208" s="161">
        <f>196463/30</f>
        <v>6548.766666666666</v>
      </c>
      <c r="U208" s="161">
        <f>353166/30</f>
        <v>11772.2</v>
      </c>
      <c r="V208" s="161"/>
      <c r="W208" s="161">
        <f>542081/30</f>
        <v>18069.366666666665</v>
      </c>
      <c r="X208" s="161">
        <f>1468847/30</f>
        <v>48961.566666666666</v>
      </c>
      <c r="Y208" s="161">
        <f>995736/30</f>
        <v>33191.2</v>
      </c>
      <c r="Z208" s="161"/>
      <c r="AA208" s="161">
        <v>289.3</v>
      </c>
      <c r="AB208" s="161">
        <v>96.13333333333334</v>
      </c>
      <c r="AC208" s="161">
        <f>63936/30</f>
        <v>2131.2</v>
      </c>
      <c r="AD208" s="161"/>
      <c r="AE208" s="161"/>
      <c r="AF208" s="161"/>
      <c r="AG208" s="161"/>
      <c r="AH208" s="161"/>
      <c r="AI208" s="148">
        <f t="shared" si="15"/>
        <v>162446.69999999998</v>
      </c>
      <c r="AJ208" s="254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2">
        <f t="shared" si="22"/>
        <v>2010.83332660001</v>
      </c>
      <c r="D209" s="152">
        <v>40452</v>
      </c>
      <c r="E209" s="161">
        <f>35546/31</f>
        <v>1146.6451612903227</v>
      </c>
      <c r="F209" s="161">
        <v>528.0322580645161</v>
      </c>
      <c r="G209" s="161">
        <f>111346/31</f>
        <v>3591.8064516129034</v>
      </c>
      <c r="H209" s="161">
        <v>925.9677419354839</v>
      </c>
      <c r="I209" s="161">
        <v>183.51612903225808</v>
      </c>
      <c r="J209" s="282">
        <f>87966/31</f>
        <v>2837.6129032258063</v>
      </c>
      <c r="K209" s="282"/>
      <c r="L209" s="161">
        <v>236.70967741935485</v>
      </c>
      <c r="M209" s="161">
        <f>412324/31</f>
        <v>13300.774193548386</v>
      </c>
      <c r="N209" s="161"/>
      <c r="O209" s="161">
        <f>101262/31</f>
        <v>3266.516129032258</v>
      </c>
      <c r="P209" s="161"/>
      <c r="Q209" s="161">
        <v>17.193548387096776</v>
      </c>
      <c r="R209" s="161">
        <v>52.32258064516129</v>
      </c>
      <c r="S209" s="161">
        <f>431894/31</f>
        <v>13932.064516129032</v>
      </c>
      <c r="T209" s="161">
        <f>157930/31</f>
        <v>5094.5161290322585</v>
      </c>
      <c r="U209" s="161">
        <f>358122/31</f>
        <v>11552.322580645161</v>
      </c>
      <c r="V209" s="161"/>
      <c r="W209" s="161">
        <f>556692/31</f>
        <v>17957.8064516129</v>
      </c>
      <c r="X209" s="161">
        <f>1503939/31</f>
        <v>48514.16129032258</v>
      </c>
      <c r="Y209" s="161">
        <f>1045986/31</f>
        <v>33741.48387096774</v>
      </c>
      <c r="Z209" s="161"/>
      <c r="AA209" s="161">
        <v>318.4193548387097</v>
      </c>
      <c r="AB209" s="161">
        <v>107.19354838709677</v>
      </c>
      <c r="AC209" s="161">
        <f>74978/31</f>
        <v>2418.6451612903224</v>
      </c>
      <c r="AD209" s="161"/>
      <c r="AE209" s="161"/>
      <c r="AF209" s="161"/>
      <c r="AG209" s="161"/>
      <c r="AH209" s="161"/>
      <c r="AI209" s="148">
        <f t="shared" si="15"/>
        <v>159723.70967741933</v>
      </c>
      <c r="AJ209" s="254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2">
        <f t="shared" si="22"/>
        <v>2010.91665990001</v>
      </c>
      <c r="D210" s="152">
        <v>40483</v>
      </c>
      <c r="E210" s="161">
        <f>34549/30</f>
        <v>1151.6333333333334</v>
      </c>
      <c r="F210" s="161">
        <v>581.7666666666667</v>
      </c>
      <c r="G210" s="161">
        <f>106206/30</f>
        <v>3540.2</v>
      </c>
      <c r="H210" s="161">
        <v>953.1</v>
      </c>
      <c r="I210" s="161">
        <v>182.66666666666666</v>
      </c>
      <c r="J210" s="282">
        <f>87026/30</f>
        <v>2900.866666666667</v>
      </c>
      <c r="K210" s="282"/>
      <c r="L210" s="161">
        <v>233.2</v>
      </c>
      <c r="M210" s="161">
        <f>394580/30</f>
        <v>13152.666666666666</v>
      </c>
      <c r="N210" s="161"/>
      <c r="O210" s="161">
        <f>95464/30</f>
        <v>3182.133333333333</v>
      </c>
      <c r="P210" s="161"/>
      <c r="Q210" s="161">
        <v>17.8</v>
      </c>
      <c r="R210" s="161">
        <v>47.06666666666667</v>
      </c>
      <c r="S210" s="161">
        <f>(324058+32926)/30</f>
        <v>11899.466666666667</v>
      </c>
      <c r="T210" s="161">
        <f>130184/30</f>
        <v>4339.466666666666</v>
      </c>
      <c r="U210" s="161">
        <f>321495/30</f>
        <v>10716.5</v>
      </c>
      <c r="V210" s="161"/>
      <c r="W210" s="161">
        <f>549956/30</f>
        <v>18331.866666666665</v>
      </c>
      <c r="X210" s="161">
        <f>1391997/30</f>
        <v>46399.9</v>
      </c>
      <c r="Y210" s="161">
        <f>1057759/30</f>
        <v>35258.63333333333</v>
      </c>
      <c r="Z210" s="161"/>
      <c r="AA210" s="161">
        <v>331</v>
      </c>
      <c r="AB210" s="161">
        <v>50.06666666666667</v>
      </c>
      <c r="AC210" s="161">
        <f>73424/30</f>
        <v>2447.4666666666667</v>
      </c>
      <c r="AD210" s="161"/>
      <c r="AE210" s="161"/>
      <c r="AF210" s="161"/>
      <c r="AG210" s="161"/>
      <c r="AH210" s="161"/>
      <c r="AI210" s="148">
        <f t="shared" si="15"/>
        <v>155717.46666666667</v>
      </c>
      <c r="AJ210" s="254">
        <f>+AJ209</f>
        <v>157159</v>
      </c>
      <c r="AL210" s="138"/>
      <c r="AM210" s="138"/>
    </row>
    <row r="211" spans="3:40" ht="12.75">
      <c r="C211" s="182">
        <f t="shared" si="22"/>
        <v>2010.99999320001</v>
      </c>
      <c r="D211" s="152">
        <v>40513</v>
      </c>
      <c r="E211" s="161">
        <v>1107</v>
      </c>
      <c r="F211" s="161">
        <v>666</v>
      </c>
      <c r="G211" s="161">
        <v>3724</v>
      </c>
      <c r="H211" s="161">
        <v>926</v>
      </c>
      <c r="I211" s="161">
        <v>183</v>
      </c>
      <c r="J211" s="282">
        <v>2743</v>
      </c>
      <c r="K211" s="282"/>
      <c r="L211" s="161">
        <v>233</v>
      </c>
      <c r="M211" s="161">
        <v>13298</v>
      </c>
      <c r="N211" s="161"/>
      <c r="O211" s="161">
        <v>3574</v>
      </c>
      <c r="P211" s="161"/>
      <c r="Q211" s="161">
        <v>71</v>
      </c>
      <c r="R211" s="161">
        <v>49</v>
      </c>
      <c r="S211" s="161">
        <v>12701</v>
      </c>
      <c r="T211" s="161">
        <v>5906</v>
      </c>
      <c r="U211" s="161">
        <v>11506</v>
      </c>
      <c r="V211" s="161"/>
      <c r="W211" s="161">
        <v>17849</v>
      </c>
      <c r="X211" s="161">
        <v>47643</v>
      </c>
      <c r="Y211" s="161">
        <v>33451</v>
      </c>
      <c r="Z211" s="161"/>
      <c r="AA211" s="161">
        <v>443</v>
      </c>
      <c r="AB211" s="161">
        <v>94</v>
      </c>
      <c r="AC211" s="161">
        <v>2244</v>
      </c>
      <c r="AD211" s="161"/>
      <c r="AE211" s="161"/>
      <c r="AF211" s="161"/>
      <c r="AG211" s="161"/>
      <c r="AH211" s="161"/>
      <c r="AI211" s="148">
        <f>SUM(E211:AH211)</f>
        <v>158411</v>
      </c>
      <c r="AJ211" s="254">
        <f>+AJ210</f>
        <v>157159</v>
      </c>
      <c r="AK211" s="133"/>
      <c r="AL211" s="138"/>
      <c r="AM211" s="133"/>
      <c r="AN211" s="133"/>
    </row>
    <row r="212" spans="3:36" ht="12.75">
      <c r="C212" s="182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82">
        <f>84980/31</f>
        <v>2741.2903225806454</v>
      </c>
      <c r="K212" s="282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254">
        <v>152716</v>
      </c>
    </row>
    <row r="213" spans="3:36" ht="12.75">
      <c r="C213" s="182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82">
        <f>81774/28</f>
        <v>2920.5</v>
      </c>
      <c r="K213" s="282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254">
        <f>+AJ212</f>
        <v>152716</v>
      </c>
    </row>
    <row r="214" spans="3:37" ht="12.75">
      <c r="C214" s="182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82">
        <f>87762/31</f>
        <v>2831.032258064516</v>
      </c>
      <c r="K214" s="282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254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2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82">
        <f>82573/30</f>
        <v>2752.4333333333334</v>
      </c>
      <c r="K215" s="282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254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2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82">
        <v>2798</v>
      </c>
      <c r="K216" s="282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254">
        <f t="shared" si="25"/>
        <v>152716</v>
      </c>
      <c r="AK216" s="138">
        <f t="shared" si="24"/>
        <v>1131.6182795698987</v>
      </c>
    </row>
    <row r="217" spans="3:39" ht="12.75">
      <c r="C217" s="182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82">
        <f>88734/30</f>
        <v>2957.8</v>
      </c>
      <c r="K217" s="282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254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2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82">
        <f>94911/31</f>
        <v>3061.6451612903224</v>
      </c>
      <c r="K218" s="282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254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2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82">
        <f>97382/31</f>
        <v>3141.3548387096776</v>
      </c>
      <c r="K219" s="282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254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2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82">
        <f>97457/30</f>
        <v>3248.5666666666666</v>
      </c>
      <c r="K220" s="282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254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2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82">
        <f>99680/31</f>
        <v>3215.483870967742</v>
      </c>
      <c r="K221" s="282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254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2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82">
        <f>104127/30</f>
        <v>3470.9</v>
      </c>
      <c r="K222" s="282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254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2">
        <f t="shared" si="22"/>
        <v>2011.9999928000107</v>
      </c>
      <c r="D223" s="147">
        <v>40878</v>
      </c>
      <c r="E223" s="162">
        <v>1035.2903225806451</v>
      </c>
      <c r="F223" s="162">
        <v>469.8709677419355</v>
      </c>
      <c r="G223" s="162">
        <v>3234.2258064516127</v>
      </c>
      <c r="H223" s="162">
        <v>830.516129032258</v>
      </c>
      <c r="I223" s="162">
        <v>162.83870967741936</v>
      </c>
      <c r="J223" s="283">
        <v>3436</v>
      </c>
      <c r="K223" s="283"/>
      <c r="L223" s="162">
        <v>226.32258064516128</v>
      </c>
      <c r="M223" s="162">
        <v>13724.322580645161</v>
      </c>
      <c r="N223" s="162"/>
      <c r="O223" s="162">
        <v>3642.7741935483873</v>
      </c>
      <c r="P223" s="162"/>
      <c r="Q223" s="162">
        <v>208.25806451612902</v>
      </c>
      <c r="R223" s="162">
        <v>40.41935483870968</v>
      </c>
      <c r="S223" s="162">
        <v>12949.451612903225</v>
      </c>
      <c r="T223" s="162">
        <v>3321.8709677419356</v>
      </c>
      <c r="U223" s="162">
        <v>9883.548387096775</v>
      </c>
      <c r="V223" s="162"/>
      <c r="W223" s="162">
        <v>16629.1935483871</v>
      </c>
      <c r="X223" s="162">
        <v>36491.41935483871</v>
      </c>
      <c r="Y223" s="162">
        <v>39760.87096774193</v>
      </c>
      <c r="Z223" s="162"/>
      <c r="AA223" s="162">
        <v>443.93548387096774</v>
      </c>
      <c r="AB223" s="162">
        <v>113.87096774193549</v>
      </c>
      <c r="AC223" s="162">
        <v>2495.032258064516</v>
      </c>
      <c r="AD223" s="162"/>
      <c r="AE223" s="162"/>
      <c r="AF223" s="162"/>
      <c r="AG223" s="162"/>
      <c r="AH223" s="162"/>
      <c r="AI223" s="148">
        <f t="shared" si="23"/>
        <v>149100.03225806452</v>
      </c>
      <c r="AJ223" s="254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2">
        <f t="shared" si="22"/>
        <v>2012.0833261000107</v>
      </c>
      <c r="D224" s="152">
        <v>40909</v>
      </c>
      <c r="E224" s="163">
        <v>1078.032258064516</v>
      </c>
      <c r="F224" s="164">
        <v>471.9032258064516</v>
      </c>
      <c r="G224" s="164">
        <v>2785.7741935483873</v>
      </c>
      <c r="H224" s="164">
        <v>824.258064516129</v>
      </c>
      <c r="I224" s="164">
        <v>157.48387096774192</v>
      </c>
      <c r="J224" s="284">
        <v>3291.64516129032</v>
      </c>
      <c r="K224" s="284"/>
      <c r="L224" s="164">
        <v>227.61290322580646</v>
      </c>
      <c r="M224" s="164">
        <v>14161.677419354839</v>
      </c>
      <c r="N224" s="164"/>
      <c r="O224" s="164">
        <v>3486.6451612903224</v>
      </c>
      <c r="P224" s="164"/>
      <c r="Q224" s="164">
        <v>175.67741935483872</v>
      </c>
      <c r="R224" s="164">
        <v>39.806451612903224</v>
      </c>
      <c r="S224" s="164">
        <v>12842.709677419354</v>
      </c>
      <c r="T224" s="164">
        <v>4014.2903225806454</v>
      </c>
      <c r="U224" s="164">
        <v>9102.967741935483</v>
      </c>
      <c r="V224" s="164"/>
      <c r="W224" s="164">
        <v>15735.387096774193</v>
      </c>
      <c r="X224" s="164">
        <v>31091.354838709678</v>
      </c>
      <c r="Y224" s="164">
        <v>33177.25806451613</v>
      </c>
      <c r="Z224" s="164"/>
      <c r="AA224" s="164">
        <v>370.5483870967742</v>
      </c>
      <c r="AB224" s="164">
        <v>80.87096774193549</v>
      </c>
      <c r="AC224" s="164">
        <v>2527.7419354838707</v>
      </c>
      <c r="AD224" s="164"/>
      <c r="AE224" s="164"/>
      <c r="AF224" s="164"/>
      <c r="AG224" s="164"/>
      <c r="AH224" s="164"/>
      <c r="AI224" s="148">
        <f t="shared" si="23"/>
        <v>135643.64516129033</v>
      </c>
      <c r="AJ224" s="254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2">
        <f t="shared" si="22"/>
        <v>2012.1666594000108</v>
      </c>
      <c r="D225" s="152">
        <v>40940</v>
      </c>
      <c r="E225" s="165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82">
        <f>83102/29</f>
        <v>2865.5862068965516</v>
      </c>
      <c r="K225" s="282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254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2">
        <f t="shared" si="22"/>
        <v>2012.2499927000108</v>
      </c>
      <c r="D226" s="152">
        <v>40969</v>
      </c>
      <c r="E226" s="165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82">
        <f>99764/31</f>
        <v>3218.1935483870966</v>
      </c>
      <c r="K226" s="282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254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2">
        <f t="shared" si="22"/>
        <v>2012.3333260000109</v>
      </c>
      <c r="D227" s="152">
        <v>41000</v>
      </c>
      <c r="E227" s="165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82">
        <v>3018.4333333333334</v>
      </c>
      <c r="K227" s="282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254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2">
        <f t="shared" si="22"/>
        <v>2012.416659300011</v>
      </c>
      <c r="D228" s="152">
        <v>41030</v>
      </c>
      <c r="E228" s="165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82">
        <v>3254.41935483871</v>
      </c>
      <c r="K228" s="282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254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2">
        <f t="shared" si="22"/>
        <v>2012.499992600011</v>
      </c>
      <c r="D229" s="152">
        <v>41061</v>
      </c>
      <c r="E229" s="165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82">
        <v>3280.2</v>
      </c>
      <c r="K229" s="282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254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2">
        <f t="shared" si="22"/>
        <v>2012.583325900011</v>
      </c>
      <c r="D230" s="152">
        <v>41091</v>
      </c>
      <c r="E230" s="165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82">
        <v>3272.1612903225805</v>
      </c>
      <c r="K230" s="282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254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2">
        <f t="shared" si="22"/>
        <v>2012.666659200011</v>
      </c>
      <c r="D231" s="152">
        <v>41122</v>
      </c>
      <c r="E231" s="165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82">
        <v>3518.03225806452</v>
      </c>
      <c r="K231" s="282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254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2">
        <f t="shared" si="22"/>
        <v>2012.749992500011</v>
      </c>
      <c r="D232" s="152">
        <v>41153</v>
      </c>
      <c r="E232" s="165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82">
        <v>3496</v>
      </c>
      <c r="K232" s="282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59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254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2">
        <f t="shared" si="22"/>
        <v>2012.8333258000112</v>
      </c>
      <c r="D233" s="152">
        <v>41183</v>
      </c>
      <c r="E233" s="165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82">
        <f>113288/31</f>
        <v>3654.451612903226</v>
      </c>
      <c r="K233" s="282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254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2">
        <f t="shared" si="22"/>
        <v>2012.9166591000112</v>
      </c>
      <c r="D234" s="152">
        <v>41214</v>
      </c>
      <c r="E234" s="165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82">
        <v>3587</v>
      </c>
      <c r="K234" s="282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254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2">
        <f t="shared" si="22"/>
        <v>2012.9999924000113</v>
      </c>
      <c r="D235" s="166">
        <v>41244</v>
      </c>
      <c r="E235" s="167">
        <v>1580.6774193548388</v>
      </c>
      <c r="F235" s="162">
        <v>451.03225806451616</v>
      </c>
      <c r="G235" s="162">
        <v>2014.1612903225807</v>
      </c>
      <c r="H235" s="162">
        <v>750.8064516129032</v>
      </c>
      <c r="I235" s="162">
        <v>147.25806451612902</v>
      </c>
      <c r="J235" s="283">
        <v>3640.741935</v>
      </c>
      <c r="K235" s="283"/>
      <c r="L235" s="162">
        <v>211.29032258064515</v>
      </c>
      <c r="M235" s="162">
        <v>14069.548387096775</v>
      </c>
      <c r="N235" s="162"/>
      <c r="O235" s="162">
        <v>3449.3870967741937</v>
      </c>
      <c r="P235" s="162"/>
      <c r="Q235" s="162">
        <v>92.48387096774194</v>
      </c>
      <c r="R235" s="162">
        <v>29.419354838709676</v>
      </c>
      <c r="S235" s="162">
        <v>11086.193548387097</v>
      </c>
      <c r="T235" s="162">
        <v>3547.1612903225805</v>
      </c>
      <c r="U235" s="162">
        <v>8955.483870967742</v>
      </c>
      <c r="V235" s="162"/>
      <c r="W235" s="162">
        <v>15099.451612903225</v>
      </c>
      <c r="X235" s="162">
        <v>60833.16129032258</v>
      </c>
      <c r="Y235" s="162">
        <v>35531.87096774193</v>
      </c>
      <c r="Z235" s="162"/>
      <c r="AA235" s="162">
        <v>302.1290322580645</v>
      </c>
      <c r="AB235" s="162">
        <v>104.96774193548387</v>
      </c>
      <c r="AC235" s="162">
        <v>2550.8064516129034</v>
      </c>
      <c r="AD235" s="162"/>
      <c r="AE235" s="162"/>
      <c r="AF235" s="162"/>
      <c r="AG235" s="162"/>
      <c r="AH235" s="162"/>
      <c r="AI235" s="148">
        <f t="shared" si="23"/>
        <v>164448.03225758066</v>
      </c>
      <c r="AJ235" s="254">
        <f>+AJ234</f>
        <v>152982</v>
      </c>
      <c r="AK235" s="138">
        <f t="shared" si="28"/>
        <v>-304.967742419336</v>
      </c>
    </row>
    <row r="236" spans="3:37" ht="12.75">
      <c r="C236" s="182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83">
        <f>104345/31</f>
        <v>3365.967741935484</v>
      </c>
      <c r="K236" s="283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5"/>
      <c r="AI236" s="148">
        <f t="shared" si="23"/>
        <v>165195.03225806452</v>
      </c>
      <c r="AJ236" s="252">
        <v>167515</v>
      </c>
      <c r="AK236" s="138">
        <f t="shared" si="28"/>
        <v>747.0000004838512</v>
      </c>
    </row>
    <row r="237" spans="3:44" ht="12.75">
      <c r="C237" s="182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83">
        <f>98920/28</f>
        <v>3532.8571428571427</v>
      </c>
      <c r="K237" s="283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252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2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83">
        <f>93904/31</f>
        <v>3029.1612903225805</v>
      </c>
      <c r="K238" s="283"/>
      <c r="L238" s="148">
        <f>6524/31</f>
        <v>210.4516129032258</v>
      </c>
      <c r="M238" s="148">
        <f>398341/31</f>
        <v>12849.709677419354</v>
      </c>
      <c r="N238" s="155"/>
      <c r="O238" s="148">
        <f>119399/31</f>
        <v>3851.5806451612902</v>
      </c>
      <c r="P238" s="155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1">
        <f>1277480/31</f>
        <v>41209.032258064515</v>
      </c>
      <c r="Z238" s="161"/>
      <c r="AA238" s="161">
        <v>383.4193548387097</v>
      </c>
      <c r="AB238" s="161">
        <v>137.16129032258064</v>
      </c>
      <c r="AC238" s="161">
        <f>79216/31</f>
        <v>2555.3548387096776</v>
      </c>
      <c r="AD238" s="161"/>
      <c r="AE238" s="161"/>
      <c r="AF238" s="161">
        <v>0</v>
      </c>
      <c r="AG238" s="161">
        <v>404.5483870967742</v>
      </c>
      <c r="AH238" s="161"/>
      <c r="AI238" s="148">
        <f aca="true" t="shared" si="30" ref="AI238:AI252">SUM(E238:AH238)</f>
        <v>169959.064516129</v>
      </c>
      <c r="AJ238" s="252">
        <f t="shared" si="29"/>
        <v>167515</v>
      </c>
      <c r="AK238" s="138">
        <f t="shared" si="28"/>
        <v>-3654.4354838709987</v>
      </c>
    </row>
    <row r="239" spans="3:37" ht="12.75">
      <c r="C239" s="182">
        <f t="shared" si="22"/>
        <v>2013.3333256000114</v>
      </c>
      <c r="D239" s="147">
        <v>41365</v>
      </c>
      <c r="E239" s="156">
        <f>42622/30</f>
        <v>1420.7333333333333</v>
      </c>
      <c r="F239" s="156">
        <f>12164/30</f>
        <v>405.46666666666664</v>
      </c>
      <c r="G239" s="156">
        <f>58346/30</f>
        <v>1944.8666666666666</v>
      </c>
      <c r="H239" s="156">
        <f>21493/30</f>
        <v>716.4333333333333</v>
      </c>
      <c r="I239" s="155">
        <f>3585/30</f>
        <v>119.5</v>
      </c>
      <c r="J239" s="278">
        <f>95861/30</f>
        <v>3195.366666666667</v>
      </c>
      <c r="K239" s="279"/>
      <c r="L239" s="155">
        <f>6192/30</f>
        <v>206.4</v>
      </c>
      <c r="M239" s="148">
        <f>382649/30</f>
        <v>12754.966666666667</v>
      </c>
      <c r="N239" s="155"/>
      <c r="O239" s="155">
        <f>121147/30</f>
        <v>4038.233333333333</v>
      </c>
      <c r="P239" s="155"/>
      <c r="Q239" s="155">
        <f>2672/30</f>
        <v>89.06666666666666</v>
      </c>
      <c r="R239" s="155">
        <f>968/30</f>
        <v>32.266666666666666</v>
      </c>
      <c r="S239" s="161">
        <f>(295455+42080)/30</f>
        <v>11251.166666666666</v>
      </c>
      <c r="T239" s="161">
        <f>103805/30</f>
        <v>3460.1666666666665</v>
      </c>
      <c r="U239" s="161">
        <f>280358/30</f>
        <v>9345.266666666666</v>
      </c>
      <c r="V239" s="161"/>
      <c r="W239" s="161">
        <f>442192/30</f>
        <v>14739.733333333334</v>
      </c>
      <c r="X239" s="161">
        <f>1885673/30</f>
        <v>62855.76666666667</v>
      </c>
      <c r="Y239" s="161">
        <f>1225422/30</f>
        <v>40847.4</v>
      </c>
      <c r="Z239" s="161"/>
      <c r="AA239" s="161">
        <v>208.06666666666666</v>
      </c>
      <c r="AB239" s="161">
        <v>76.66666666666667</v>
      </c>
      <c r="AC239" s="161">
        <f>67532/30</f>
        <v>2251.0666666666666</v>
      </c>
      <c r="AD239" s="161"/>
      <c r="AE239" s="161"/>
      <c r="AF239" s="161"/>
      <c r="AG239" s="161">
        <v>319.76666666666665</v>
      </c>
      <c r="AH239" s="161"/>
      <c r="AI239" s="148">
        <f t="shared" si="30"/>
        <v>170278.36666666667</v>
      </c>
      <c r="AJ239" s="252">
        <f t="shared" si="29"/>
        <v>167515</v>
      </c>
      <c r="AK239" s="138">
        <f t="shared" si="28"/>
        <v>319.30215053766733</v>
      </c>
    </row>
    <row r="240" spans="3:37" ht="13.5" customHeight="1">
      <c r="C240" s="182">
        <f t="shared" si="22"/>
        <v>2013.4166589000115</v>
      </c>
      <c r="D240" s="147">
        <v>41395</v>
      </c>
      <c r="E240" s="156">
        <f>42762/31</f>
        <v>1379.4193548387098</v>
      </c>
      <c r="F240" s="157">
        <f>12891/31</f>
        <v>415.83870967741933</v>
      </c>
      <c r="G240" s="157">
        <f>55674/31</f>
        <v>1795.9354838709678</v>
      </c>
      <c r="H240" s="157">
        <f>21796/31</f>
        <v>703.0967741935484</v>
      </c>
      <c r="I240" s="157">
        <f>3925/31</f>
        <v>126.61290322580645</v>
      </c>
      <c r="J240" s="278">
        <f>109894/31</f>
        <v>3544.967741935484</v>
      </c>
      <c r="K240" s="279"/>
      <c r="L240" s="155">
        <f>6351/31</f>
        <v>204.8709677419355</v>
      </c>
      <c r="M240" s="156">
        <f>388960/31</f>
        <v>12547.09677419355</v>
      </c>
      <c r="N240" s="156"/>
      <c r="O240" s="156">
        <f>136474/31</f>
        <v>4402.387096774193</v>
      </c>
      <c r="P240" s="156"/>
      <c r="Q240" s="156">
        <f>2870/31</f>
        <v>92.58064516129032</v>
      </c>
      <c r="R240" s="156">
        <f>915/30</f>
        <v>30.5</v>
      </c>
      <c r="S240" s="168">
        <f>+(325284+39069)/31</f>
        <v>11753.322580645161</v>
      </c>
      <c r="T240" s="168">
        <f>66032/31</f>
        <v>2130.064516129032</v>
      </c>
      <c r="U240" s="168">
        <f>327381/31</f>
        <v>10560.677419354839</v>
      </c>
      <c r="V240" s="168"/>
      <c r="W240" s="168">
        <f>454705/31</f>
        <v>14667.90322580645</v>
      </c>
      <c r="X240" s="168">
        <f>1987288/31</f>
        <v>64106.06451612903</v>
      </c>
      <c r="Y240" s="168">
        <f>1210405/31</f>
        <v>39045.32258064516</v>
      </c>
      <c r="Z240" s="168"/>
      <c r="AA240" s="168">
        <v>264.38709677419354</v>
      </c>
      <c r="AB240" s="168">
        <v>103.41935483870968</v>
      </c>
      <c r="AC240" s="168">
        <f>70832/31</f>
        <v>2284.9032258064517</v>
      </c>
      <c r="AD240" s="168"/>
      <c r="AE240" s="168"/>
      <c r="AF240" s="168">
        <v>164.4516129032258</v>
      </c>
      <c r="AG240" s="168">
        <v>206.90322580645162</v>
      </c>
      <c r="AH240" s="168"/>
      <c r="AI240" s="148">
        <f t="shared" si="30"/>
        <v>170530.72580645158</v>
      </c>
      <c r="AJ240" s="252">
        <f t="shared" si="29"/>
        <v>167515</v>
      </c>
      <c r="AK240" s="138">
        <f t="shared" si="28"/>
        <v>252.35913978490862</v>
      </c>
    </row>
    <row r="241" spans="3:37" ht="12.75">
      <c r="C241" s="182">
        <f t="shared" si="22"/>
        <v>2013.4999922000115</v>
      </c>
      <c r="D241" s="147">
        <v>41426</v>
      </c>
      <c r="E241" s="156">
        <f>38875/30</f>
        <v>1295.8333333333333</v>
      </c>
      <c r="F241" s="156">
        <f>12327/30</f>
        <v>410.9</v>
      </c>
      <c r="G241" s="156">
        <f>51923/30</f>
        <v>1730.7666666666667</v>
      </c>
      <c r="H241" s="156">
        <f>22265/30</f>
        <v>742.1666666666666</v>
      </c>
      <c r="I241" s="156">
        <f>3841/30</f>
        <v>128.03333333333333</v>
      </c>
      <c r="J241" s="278">
        <f>92416/30</f>
        <v>3080.5333333333333</v>
      </c>
      <c r="K241" s="279"/>
      <c r="L241" s="156">
        <f>5949/30</f>
        <v>198.3</v>
      </c>
      <c r="M241" s="156">
        <f>365329/30</f>
        <v>12177.633333333333</v>
      </c>
      <c r="N241" s="156"/>
      <c r="O241" s="156">
        <f>156046/30</f>
        <v>5201.533333333334</v>
      </c>
      <c r="P241" s="156"/>
      <c r="Q241" s="156">
        <f>2141/30</f>
        <v>71.36666666666666</v>
      </c>
      <c r="R241" s="156">
        <f>707/30</f>
        <v>23.566666666666666</v>
      </c>
      <c r="S241" s="168">
        <f>+(315619+41663)/30</f>
        <v>11909.4</v>
      </c>
      <c r="T241" s="168">
        <f>96526/30</f>
        <v>3217.5333333333333</v>
      </c>
      <c r="U241" s="168">
        <f>296881/30</f>
        <v>9896.033333333333</v>
      </c>
      <c r="V241" s="168"/>
      <c r="W241" s="168">
        <f>447865/30</f>
        <v>14928.833333333334</v>
      </c>
      <c r="X241" s="168">
        <f>1954132/30</f>
        <v>65137.73333333333</v>
      </c>
      <c r="Y241" s="168">
        <f>1180450/30</f>
        <v>39348.333333333336</v>
      </c>
      <c r="Z241" s="168"/>
      <c r="AA241" s="168">
        <v>335.03333333333336</v>
      </c>
      <c r="AB241" s="168">
        <v>129.06666666666666</v>
      </c>
      <c r="AC241" s="168">
        <f>75701/30</f>
        <v>2523.366666666667</v>
      </c>
      <c r="AD241" s="168"/>
      <c r="AE241" s="168"/>
      <c r="AF241" s="168">
        <v>0</v>
      </c>
      <c r="AG241" s="168">
        <v>194.06666666666666</v>
      </c>
      <c r="AH241" s="168"/>
      <c r="AI241" s="148">
        <f t="shared" si="30"/>
        <v>172680.03333333335</v>
      </c>
      <c r="AJ241" s="252">
        <f t="shared" si="29"/>
        <v>167515</v>
      </c>
      <c r="AK241" s="138">
        <f t="shared" si="28"/>
        <v>2149.3075268817774</v>
      </c>
    </row>
    <row r="242" spans="3:37" ht="12.75">
      <c r="C242" s="182">
        <f t="shared" si="22"/>
        <v>2013.5833255000116</v>
      </c>
      <c r="D242" s="147">
        <v>41456</v>
      </c>
      <c r="E242" s="156">
        <f>39620/31</f>
        <v>1278.0645161290322</v>
      </c>
      <c r="F242" s="156">
        <f>12318/31</f>
        <v>397.35483870967744</v>
      </c>
      <c r="G242" s="156">
        <f>65141/31</f>
        <v>2101.3225806451615</v>
      </c>
      <c r="H242" s="156">
        <f>17434/31</f>
        <v>562.3870967741935</v>
      </c>
      <c r="I242" s="156">
        <f>4505/31</f>
        <v>145.32258064516128</v>
      </c>
      <c r="J242" s="278">
        <f>112945/31</f>
        <v>3643.3870967741937</v>
      </c>
      <c r="K242" s="279"/>
      <c r="L242" s="156">
        <f>6095/31</f>
        <v>196.61290322580646</v>
      </c>
      <c r="M242" s="156">
        <f>345220/31</f>
        <v>11136.129032258064</v>
      </c>
      <c r="N242" s="156"/>
      <c r="O242" s="156">
        <f>156385/31</f>
        <v>5044.677419354839</v>
      </c>
      <c r="P242" s="156"/>
      <c r="Q242" s="156">
        <f>2735/31</f>
        <v>88.2258064516129</v>
      </c>
      <c r="R242" s="156">
        <f>939/31</f>
        <v>30.29032258064516</v>
      </c>
      <c r="S242" s="168">
        <f>+(314332+34159)/31</f>
        <v>11241.645161290322</v>
      </c>
      <c r="T242" s="168">
        <f>88323/31</f>
        <v>2849.1290322580644</v>
      </c>
      <c r="U242" s="168">
        <f>295043/31</f>
        <v>9517.516129032258</v>
      </c>
      <c r="V242" s="168"/>
      <c r="W242" s="168">
        <f>452248/31</f>
        <v>14588.645161290322</v>
      </c>
      <c r="X242" s="168">
        <f>2053407/31</f>
        <v>66238.93548387097</v>
      </c>
      <c r="Y242" s="168">
        <f>1023591/31</f>
        <v>33019.06451612903</v>
      </c>
      <c r="Z242" s="168"/>
      <c r="AA242" s="168">
        <v>263.4193548387097</v>
      </c>
      <c r="AB242" s="168">
        <v>92.12903225806451</v>
      </c>
      <c r="AC242" s="168">
        <f>63649/31</f>
        <v>2053.1935483870966</v>
      </c>
      <c r="AD242" s="168"/>
      <c r="AE242" s="168"/>
      <c r="AF242" s="168">
        <v>0</v>
      </c>
      <c r="AG242" s="168">
        <v>103.45161290322581</v>
      </c>
      <c r="AH242" s="168"/>
      <c r="AI242" s="148">
        <f t="shared" si="30"/>
        <v>164590.9032258064</v>
      </c>
      <c r="AJ242" s="252">
        <f t="shared" si="29"/>
        <v>167515</v>
      </c>
      <c r="AK242" s="138">
        <f t="shared" si="28"/>
        <v>-8089.130107526958</v>
      </c>
    </row>
    <row r="243" spans="3:37" ht="12.75">
      <c r="C243" s="182">
        <f t="shared" si="22"/>
        <v>2013.6666588000116</v>
      </c>
      <c r="D243" s="147">
        <v>41487</v>
      </c>
      <c r="E243" s="156">
        <f>42789/31</f>
        <v>1380.2903225806451</v>
      </c>
      <c r="F243" s="156">
        <f>13570/31</f>
        <v>437.741935483871</v>
      </c>
      <c r="G243" s="156">
        <f>61100/31</f>
        <v>1970.967741935484</v>
      </c>
      <c r="H243" s="156">
        <f>28127/31</f>
        <v>907.3225806451613</v>
      </c>
      <c r="I243" s="156">
        <f>4088/31</f>
        <v>131.8709677419355</v>
      </c>
      <c r="J243" s="278">
        <f>115529/31</f>
        <v>3726.7419354838707</v>
      </c>
      <c r="K243" s="279"/>
      <c r="L243" s="156">
        <f>6342/31</f>
        <v>204.58064516129033</v>
      </c>
      <c r="M243" s="156">
        <f>316930/31</f>
        <v>10223.548387096775</v>
      </c>
      <c r="N243" s="156"/>
      <c r="O243" s="156">
        <f>175760/31</f>
        <v>5669.677419354839</v>
      </c>
      <c r="P243" s="156"/>
      <c r="Q243" s="156">
        <f>2659/31</f>
        <v>85.7741935483871</v>
      </c>
      <c r="R243" s="156">
        <f>903/31</f>
        <v>29.129032258064516</v>
      </c>
      <c r="S243" s="168">
        <f>(314803+37704)/31</f>
        <v>11371.193548387097</v>
      </c>
      <c r="T243" s="168">
        <v>1047.6129032258063</v>
      </c>
      <c r="U243" s="168">
        <f>299691/31</f>
        <v>9667.451612903225</v>
      </c>
      <c r="V243" s="168"/>
      <c r="W243" s="168">
        <f>471975/31</f>
        <v>15225</v>
      </c>
      <c r="X243" s="168">
        <f>2082905/31</f>
        <v>67190.48387096774</v>
      </c>
      <c r="Y243" s="168">
        <f>1181110/31</f>
        <v>38100.32258064516</v>
      </c>
      <c r="Z243" s="168"/>
      <c r="AA243" s="168">
        <v>373.0967741935484</v>
      </c>
      <c r="AB243" s="168">
        <v>133.2258064516129</v>
      </c>
      <c r="AC243" s="168">
        <f>66408/31</f>
        <v>2142.1935483870966</v>
      </c>
      <c r="AD243" s="168"/>
      <c r="AE243" s="168"/>
      <c r="AF243" s="168">
        <v>0</v>
      </c>
      <c r="AG243" s="168">
        <v>0</v>
      </c>
      <c r="AH243" s="168"/>
      <c r="AI243" s="148">
        <f t="shared" si="30"/>
        <v>170018.22580645158</v>
      </c>
      <c r="AJ243" s="252">
        <f t="shared" si="29"/>
        <v>167515</v>
      </c>
      <c r="AK243" s="138">
        <f t="shared" si="28"/>
        <v>5427.322580645181</v>
      </c>
    </row>
    <row r="244" spans="3:39" ht="12.75">
      <c r="C244" s="182">
        <f t="shared" si="22"/>
        <v>2013.7499921000117</v>
      </c>
      <c r="D244" s="147">
        <v>41518</v>
      </c>
      <c r="E244" s="156">
        <f>41277/30</f>
        <v>1375.9</v>
      </c>
      <c r="F244" s="156">
        <f>12927/30</f>
        <v>430.9</v>
      </c>
      <c r="G244" s="156">
        <f>53074/30</f>
        <v>1769.1333333333334</v>
      </c>
      <c r="H244" s="156">
        <f>21975/30</f>
        <v>732.5</v>
      </c>
      <c r="I244" s="156">
        <v>134.26666666666668</v>
      </c>
      <c r="J244" s="278">
        <f>111777/30</f>
        <v>3725.9</v>
      </c>
      <c r="K244" s="279"/>
      <c r="L244" s="156">
        <v>206.2</v>
      </c>
      <c r="M244" s="156">
        <f>289230/30</f>
        <v>9641</v>
      </c>
      <c r="N244" s="156"/>
      <c r="O244" s="156">
        <f>181478/30</f>
        <v>6049.266666666666</v>
      </c>
      <c r="P244" s="156"/>
      <c r="Q244" s="156">
        <v>88.46666666666667</v>
      </c>
      <c r="R244" s="156">
        <v>32.43333333333333</v>
      </c>
      <c r="S244" s="168">
        <f>+(322853+37451)/30</f>
        <v>12010.133333333333</v>
      </c>
      <c r="T244" s="168">
        <f>120516/30</f>
        <v>4017.2</v>
      </c>
      <c r="U244" s="168">
        <f>262614/30</f>
        <v>8753.8</v>
      </c>
      <c r="V244" s="168"/>
      <c r="W244" s="168">
        <f>446041/30</f>
        <v>14868.033333333333</v>
      </c>
      <c r="X244" s="168">
        <f>1794112/30</f>
        <v>59803.73333333333</v>
      </c>
      <c r="Y244" s="168">
        <f>1140242/30</f>
        <v>38008.066666666666</v>
      </c>
      <c r="Z244" s="168"/>
      <c r="AA244" s="168">
        <v>263.96666666666664</v>
      </c>
      <c r="AB244" s="168">
        <v>97.2</v>
      </c>
      <c r="AC244" s="168">
        <f>66431/30</f>
        <v>2214.366666666667</v>
      </c>
      <c r="AD244" s="168"/>
      <c r="AE244" s="168"/>
      <c r="AF244" s="168">
        <v>0</v>
      </c>
      <c r="AG244" s="168">
        <v>0</v>
      </c>
      <c r="AH244" s="168"/>
      <c r="AI244" s="148">
        <f t="shared" si="30"/>
        <v>164222.4666666667</v>
      </c>
      <c r="AJ244" s="252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2">
        <f t="shared" si="22"/>
        <v>2013.8333254000117</v>
      </c>
      <c r="D245" s="147">
        <v>41548</v>
      </c>
      <c r="E245" s="156">
        <f>46176/31</f>
        <v>1489.5483870967741</v>
      </c>
      <c r="F245" s="156">
        <f>13337/31</f>
        <v>430.2258064516129</v>
      </c>
      <c r="G245" s="156">
        <f>52513/31</f>
        <v>1693.967741935484</v>
      </c>
      <c r="H245" s="156">
        <f>21460/31</f>
        <v>692.258064516129</v>
      </c>
      <c r="I245" s="156">
        <f>4285/31</f>
        <v>138.2258064516129</v>
      </c>
      <c r="J245" s="278">
        <f>110419/31</f>
        <v>3561.9032258064517</v>
      </c>
      <c r="K245" s="279"/>
      <c r="L245" s="156">
        <f>6326/31</f>
        <v>204.06451612903226</v>
      </c>
      <c r="M245" s="156">
        <f>293206/31</f>
        <v>9458.258064516129</v>
      </c>
      <c r="N245" s="156"/>
      <c r="O245" s="156">
        <f>158448/31</f>
        <v>5111.225806451613</v>
      </c>
      <c r="P245" s="156"/>
      <c r="Q245" s="156">
        <f>2493/31</f>
        <v>80.41935483870968</v>
      </c>
      <c r="R245" s="156">
        <f>956/31</f>
        <v>30.838709677419356</v>
      </c>
      <c r="S245" s="168">
        <f>(328002+41086)/31</f>
        <v>11906.064516129032</v>
      </c>
      <c r="T245" s="168">
        <v>999.1935483870968</v>
      </c>
      <c r="U245" s="168">
        <f>309727/31</f>
        <v>9991.193548387097</v>
      </c>
      <c r="V245" s="168"/>
      <c r="W245" s="169">
        <f>413312/31</f>
        <v>13332.645161290322</v>
      </c>
      <c r="X245" s="168">
        <f>1588429/31</f>
        <v>51239.645161290326</v>
      </c>
      <c r="Y245" s="168">
        <f>1173599/31</f>
        <v>37858.032258064515</v>
      </c>
      <c r="Z245" s="168"/>
      <c r="AA245" s="168">
        <v>285.9032258064516</v>
      </c>
      <c r="AB245" s="168">
        <v>97.61290322580645</v>
      </c>
      <c r="AC245" s="168">
        <f>62988/31</f>
        <v>2031.8709677419354</v>
      </c>
      <c r="AD245" s="168"/>
      <c r="AE245" s="168"/>
      <c r="AF245" s="168">
        <v>0</v>
      </c>
      <c r="AG245" s="168">
        <v>0</v>
      </c>
      <c r="AH245" s="168"/>
      <c r="AI245" s="148">
        <f t="shared" si="30"/>
        <v>150633.09677419357</v>
      </c>
      <c r="AJ245" s="252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2">
        <f t="shared" si="22"/>
        <v>2013.9166587000118</v>
      </c>
      <c r="D246" s="147">
        <v>41579</v>
      </c>
      <c r="E246" s="156">
        <f>49971/30</f>
        <v>1665.7</v>
      </c>
      <c r="F246" s="156">
        <v>436.96666666666664</v>
      </c>
      <c r="G246" s="156">
        <f>60432/30</f>
        <v>2014.4</v>
      </c>
      <c r="H246" s="156">
        <v>673.2</v>
      </c>
      <c r="I246" s="156">
        <v>129.4</v>
      </c>
      <c r="J246" s="278">
        <f>105792/30</f>
        <v>3526.4</v>
      </c>
      <c r="K246" s="279"/>
      <c r="L246" s="156">
        <v>202.23333333333332</v>
      </c>
      <c r="M246" s="156">
        <f>312827/30</f>
        <v>10427.566666666668</v>
      </c>
      <c r="N246" s="156"/>
      <c r="O246" s="156">
        <f>180186/30</f>
        <v>6006.2</v>
      </c>
      <c r="P246" s="156"/>
      <c r="Q246" s="156">
        <v>80.63333333333334</v>
      </c>
      <c r="R246" s="156">
        <f>752/30</f>
        <v>25.066666666666666</v>
      </c>
      <c r="S246" s="161">
        <f>+(320575+40362)/30</f>
        <v>12031.233333333334</v>
      </c>
      <c r="T246" s="161">
        <f>114889/30</f>
        <v>3829.633333333333</v>
      </c>
      <c r="U246" s="161">
        <f>296319/30</f>
        <v>9877.3</v>
      </c>
      <c r="V246" s="161"/>
      <c r="W246" s="161">
        <f>424163/30</f>
        <v>14138.766666666666</v>
      </c>
      <c r="X246" s="161">
        <f>1978200/30</f>
        <v>65940</v>
      </c>
      <c r="Y246" s="161">
        <f>1108244/30</f>
        <v>36941.46666666667</v>
      </c>
      <c r="Z246" s="161"/>
      <c r="AA246" s="161">
        <v>209.96666666666667</v>
      </c>
      <c r="AB246" s="161">
        <v>90.83333333333333</v>
      </c>
      <c r="AC246" s="161">
        <f>66359/30</f>
        <v>2211.9666666666667</v>
      </c>
      <c r="AE246" s="161"/>
      <c r="AF246" s="161">
        <v>0</v>
      </c>
      <c r="AG246" s="161">
        <v>0</v>
      </c>
      <c r="AH246" s="161"/>
      <c r="AI246" s="148">
        <f t="shared" si="30"/>
        <v>170458.93333333335</v>
      </c>
      <c r="AJ246" s="252">
        <f t="shared" si="29"/>
        <v>167515</v>
      </c>
      <c r="AK246" s="138">
        <f t="shared" si="28"/>
        <v>19825.836559139774</v>
      </c>
    </row>
    <row r="247" spans="3:37" ht="12.75">
      <c r="C247" s="182">
        <f t="shared" si="22"/>
        <v>2013.9999920000118</v>
      </c>
      <c r="D247" s="147">
        <v>41609</v>
      </c>
      <c r="E247" s="156">
        <f>54080/31</f>
        <v>1744.516129032258</v>
      </c>
      <c r="F247" s="156">
        <f>13471/31</f>
        <v>434.5483870967742</v>
      </c>
      <c r="G247" s="156">
        <f>65913/31</f>
        <v>2126.2258064516127</v>
      </c>
      <c r="H247" s="156">
        <f>20252/31</f>
        <v>653.2903225806451</v>
      </c>
      <c r="I247" s="156">
        <f>4072/31</f>
        <v>131.3548387096774</v>
      </c>
      <c r="J247" s="278">
        <f>110534/31</f>
        <v>3565.6129032258063</v>
      </c>
      <c r="K247" s="279"/>
      <c r="L247" s="156">
        <f>6188/31</f>
        <v>199.61290322580646</v>
      </c>
      <c r="M247" s="156">
        <f>316360/31</f>
        <v>10205.161290322581</v>
      </c>
      <c r="N247" s="155"/>
      <c r="O247" s="156">
        <f>220077/31</f>
        <v>7099.258064516129</v>
      </c>
      <c r="P247" s="155"/>
      <c r="Q247" s="156">
        <f>2547/31</f>
        <v>82.16129032258064</v>
      </c>
      <c r="R247" s="156">
        <f>1043/31</f>
        <v>33.645161290322584</v>
      </c>
      <c r="S247" s="161">
        <f>(343285+43738)/31</f>
        <v>12484.612903225807</v>
      </c>
      <c r="T247" s="161">
        <f>87575/31</f>
        <v>2825</v>
      </c>
      <c r="U247" s="161">
        <f>324372/31</f>
        <v>10463.612903225807</v>
      </c>
      <c r="V247" s="161"/>
      <c r="W247" s="161">
        <f>460670/31</f>
        <v>14860.322580645161</v>
      </c>
      <c r="X247" s="161">
        <f>1887190/31</f>
        <v>60877.096774193546</v>
      </c>
      <c r="Y247" s="161">
        <f>1167021/31</f>
        <v>37645.83870967742</v>
      </c>
      <c r="Z247" s="161"/>
      <c r="AA247" s="161">
        <v>400.96774193548384</v>
      </c>
      <c r="AB247" s="161">
        <v>125.64516129032258</v>
      </c>
      <c r="AC247" s="161">
        <f>72325/31</f>
        <v>2333.064516129032</v>
      </c>
      <c r="AD247" s="161">
        <v>463.3225806451613</v>
      </c>
      <c r="AE247" s="161">
        <v>84.41935483870968</v>
      </c>
      <c r="AF247" s="161"/>
      <c r="AG247" s="161"/>
      <c r="AH247" s="161"/>
      <c r="AI247" s="148">
        <f t="shared" si="30"/>
        <v>168839.29032258064</v>
      </c>
      <c r="AJ247" s="252">
        <f t="shared" si="29"/>
        <v>167515</v>
      </c>
      <c r="AK247" s="138">
        <f t="shared" si="28"/>
        <v>-1619.6430107527121</v>
      </c>
    </row>
    <row r="248" spans="3:37" ht="12.75">
      <c r="C248" s="182">
        <f t="shared" si="22"/>
        <v>2014.083325300012</v>
      </c>
      <c r="D248" s="136">
        <v>41640</v>
      </c>
      <c r="E248" s="172">
        <f>45562/31</f>
        <v>1469.741935483871</v>
      </c>
      <c r="F248" s="172">
        <f>12777/31</f>
        <v>412.16129032258067</v>
      </c>
      <c r="G248" s="172">
        <f>54943/31</f>
        <v>1772.3548387096773</v>
      </c>
      <c r="H248" s="172">
        <f>21086/31</f>
        <v>680.1935483870968</v>
      </c>
      <c r="I248" s="172">
        <f>4005/31</f>
        <v>129.19354838709677</v>
      </c>
      <c r="J248" s="280">
        <f>110291/31</f>
        <v>3557.7741935483873</v>
      </c>
      <c r="K248" s="281"/>
      <c r="L248" s="172">
        <f>6210/31</f>
        <v>200.32258064516128</v>
      </c>
      <c r="M248" s="172">
        <f>311536/31</f>
        <v>10049.548387096775</v>
      </c>
      <c r="N248" s="172"/>
      <c r="O248" s="172">
        <f>234971/31</f>
        <v>7579.709677419355</v>
      </c>
      <c r="P248" s="172"/>
      <c r="Q248" s="172">
        <f>2356/31</f>
        <v>76</v>
      </c>
      <c r="R248" s="172">
        <f>942/31</f>
        <v>30.387096774193548</v>
      </c>
      <c r="S248" s="172">
        <f>+(319221+40146)/31</f>
        <v>11592.483870967742</v>
      </c>
      <c r="T248" s="172">
        <f>54442/31</f>
        <v>1756.1935483870968</v>
      </c>
      <c r="U248" s="172">
        <f>314944/31</f>
        <v>10159.483870967742</v>
      </c>
      <c r="V248" s="172"/>
      <c r="W248" s="172">
        <f>440745/31</f>
        <v>14217.58064516129</v>
      </c>
      <c r="X248" s="172">
        <f>1626039/31</f>
        <v>52452.87096774193</v>
      </c>
      <c r="Y248" s="172">
        <f>1133917/31</f>
        <v>36577.967741935485</v>
      </c>
      <c r="Z248" s="172"/>
      <c r="AA248" s="172">
        <v>226.41935483870967</v>
      </c>
      <c r="AB248" s="172">
        <v>86.93548387096774</v>
      </c>
      <c r="AC248" s="172">
        <f>67456/31</f>
        <v>2176</v>
      </c>
      <c r="AD248" s="172">
        <f>42864/31</f>
        <v>1382.7096774193549</v>
      </c>
      <c r="AE248" s="172">
        <v>70.35483870967742</v>
      </c>
      <c r="AF248" s="172"/>
      <c r="AG248" s="172"/>
      <c r="AH248" s="173"/>
      <c r="AI248" s="148">
        <f t="shared" si="30"/>
        <v>156656.38709677418</v>
      </c>
      <c r="AJ248" s="255">
        <f>63046641/365</f>
        <v>172730.52328767124</v>
      </c>
      <c r="AK248" s="138">
        <f t="shared" si="28"/>
        <v>-12182.903225806454</v>
      </c>
    </row>
    <row r="249" spans="3:37" ht="12.75">
      <c r="C249" s="182">
        <f t="shared" si="22"/>
        <v>2014.166658600012</v>
      </c>
      <c r="D249" s="136">
        <v>41671</v>
      </c>
      <c r="E249" s="172">
        <f>37387/28</f>
        <v>1335.25</v>
      </c>
      <c r="F249" s="172">
        <f>11375/28</f>
        <v>406.25</v>
      </c>
      <c r="G249" s="172">
        <f>45704/28</f>
        <v>1632.2857142857142</v>
      </c>
      <c r="H249" s="172">
        <f>19188/28</f>
        <v>685.2857142857143</v>
      </c>
      <c r="I249" s="172">
        <f>3547/28</f>
        <v>126.67857142857143</v>
      </c>
      <c r="J249" s="280">
        <f>101369/28</f>
        <v>3620.3214285714284</v>
      </c>
      <c r="K249" s="281"/>
      <c r="L249" s="172">
        <f>5722/28</f>
        <v>204.35714285714286</v>
      </c>
      <c r="M249" s="172">
        <f>293739/28</f>
        <v>10490.67857142857</v>
      </c>
      <c r="N249" s="172"/>
      <c r="O249" s="172">
        <f>185497/28</f>
        <v>6624.892857142857</v>
      </c>
      <c r="P249" s="172"/>
      <c r="Q249" s="172">
        <f>1952/28</f>
        <v>69.71428571428571</v>
      </c>
      <c r="R249" s="172">
        <f>831/28</f>
        <v>29.678571428571427</v>
      </c>
      <c r="S249" s="173">
        <f>+(270203+36010)/28</f>
        <v>10936.17857142857</v>
      </c>
      <c r="T249" s="173">
        <f>198440/28</f>
        <v>7087.142857142857</v>
      </c>
      <c r="U249" s="173">
        <f>273846/28</f>
        <v>9780.214285714286</v>
      </c>
      <c r="V249" s="173"/>
      <c r="W249" s="173">
        <f>406684/28</f>
        <v>14524.42857142857</v>
      </c>
      <c r="X249" s="173">
        <f>1733309/28</f>
        <v>61903.892857142855</v>
      </c>
      <c r="Y249" s="173">
        <f>1069667/28</f>
        <v>38202.392857142855</v>
      </c>
      <c r="Z249" s="173"/>
      <c r="AA249" s="173">
        <v>303.9642857142857</v>
      </c>
      <c r="AB249" s="173">
        <v>78.60714285714286</v>
      </c>
      <c r="AC249" s="173">
        <f>60777/28</f>
        <v>2170.6071428571427</v>
      </c>
      <c r="AD249" s="173">
        <f>94887/28</f>
        <v>3388.8214285714284</v>
      </c>
      <c r="AE249" s="173">
        <v>409.5357142857143</v>
      </c>
      <c r="AF249" s="173"/>
      <c r="AG249" s="173"/>
      <c r="AH249" s="173"/>
      <c r="AI249" s="148">
        <f t="shared" si="30"/>
        <v>174011.17857142852</v>
      </c>
      <c r="AJ249" s="252">
        <f>+AJ248</f>
        <v>172730.52328767124</v>
      </c>
      <c r="AK249" s="138">
        <f t="shared" si="28"/>
        <v>17354.79147465434</v>
      </c>
    </row>
    <row r="250" spans="3:37" ht="12.75">
      <c r="C250" s="182">
        <f t="shared" si="22"/>
        <v>2014.249991900012</v>
      </c>
      <c r="D250" s="136">
        <v>41699</v>
      </c>
      <c r="E250" s="172">
        <f>42926/31</f>
        <v>1384.7096774193549</v>
      </c>
      <c r="F250" s="172">
        <f>12468/31</f>
        <v>402.19354838709677</v>
      </c>
      <c r="G250" s="172">
        <f>49622/31</f>
        <v>1600.7096774193549</v>
      </c>
      <c r="H250" s="172">
        <v>668.5483870967741</v>
      </c>
      <c r="I250" s="172">
        <v>129.1290322580645</v>
      </c>
      <c r="J250" s="280">
        <f>112963/31</f>
        <v>3643.967741935484</v>
      </c>
      <c r="K250" s="281"/>
      <c r="L250" s="172">
        <f>6237/31</f>
        <v>201.19354838709677</v>
      </c>
      <c r="M250" s="172">
        <f>333556/31</f>
        <v>10759.870967741936</v>
      </c>
      <c r="N250" s="172"/>
      <c r="O250" s="172">
        <f>219638/31</f>
        <v>7085.096774193548</v>
      </c>
      <c r="P250" s="172"/>
      <c r="Q250" s="172">
        <f>2452/31</f>
        <v>79.09677419354838</v>
      </c>
      <c r="R250" s="172">
        <f>886/31</f>
        <v>28.580645161290324</v>
      </c>
      <c r="S250" s="173">
        <f>+(356319+41528)/31</f>
        <v>12833.774193548386</v>
      </c>
      <c r="T250" s="173">
        <f>161907/31</f>
        <v>5222.806451612903</v>
      </c>
      <c r="U250" s="173">
        <f>331874/31</f>
        <v>10705.612903225807</v>
      </c>
      <c r="V250" s="173"/>
      <c r="W250" s="173">
        <f>434901/31</f>
        <v>14029.064516129032</v>
      </c>
      <c r="X250" s="173">
        <f>1935925/31</f>
        <v>62449.1935483871</v>
      </c>
      <c r="Y250" s="173">
        <f>1238318/31</f>
        <v>39945.74193548387</v>
      </c>
      <c r="Z250" s="173">
        <f>37922/31</f>
        <v>1223.2903225806451</v>
      </c>
      <c r="AA250" s="173">
        <v>297.8709677419355</v>
      </c>
      <c r="AB250" s="173">
        <v>79.96774193548387</v>
      </c>
      <c r="AC250" s="173">
        <f>74828/31</f>
        <v>2413.8064516129034</v>
      </c>
      <c r="AD250" s="173">
        <f>142463/31</f>
        <v>4595.580645161291</v>
      </c>
      <c r="AE250" s="173">
        <f>33989/31</f>
        <v>1096.4193548387098</v>
      </c>
      <c r="AF250" s="173"/>
      <c r="AG250" s="173"/>
      <c r="AH250" s="173"/>
      <c r="AI250" s="148">
        <f t="shared" si="30"/>
        <v>180876.22580645164</v>
      </c>
      <c r="AJ250" s="252">
        <f>+AJ249</f>
        <v>172730.52328767124</v>
      </c>
      <c r="AK250" s="138">
        <f t="shared" si="28"/>
        <v>6865.047235023114</v>
      </c>
    </row>
    <row r="251" spans="3:37" ht="12.75">
      <c r="C251" s="182">
        <f t="shared" si="22"/>
        <v>2014.333325200012</v>
      </c>
      <c r="D251" s="136">
        <v>41730</v>
      </c>
      <c r="E251" s="172">
        <f>47500/30</f>
        <v>1583.3333333333333</v>
      </c>
      <c r="F251" s="172">
        <f>12122/30</f>
        <v>404.06666666666666</v>
      </c>
      <c r="G251" s="174">
        <f>+(2321+41544)/30</f>
        <v>1462.1666666666667</v>
      </c>
      <c r="H251" s="172">
        <f>+(1968+16362)/30</f>
        <v>611</v>
      </c>
      <c r="I251" s="172">
        <f>3749/30</f>
        <v>124.96666666666667</v>
      </c>
      <c r="J251" s="280">
        <f>108338/30</f>
        <v>3611.266666666667</v>
      </c>
      <c r="K251" s="281"/>
      <c r="L251" s="172">
        <f>5971/30</f>
        <v>199.03333333333333</v>
      </c>
      <c r="M251" s="172">
        <f>317351/30</f>
        <v>10578.366666666667</v>
      </c>
      <c r="N251" s="172"/>
      <c r="O251" s="172">
        <f>211912/30</f>
        <v>7063.733333333334</v>
      </c>
      <c r="P251" s="172"/>
      <c r="Q251" s="172">
        <f>2127/30</f>
        <v>70.9</v>
      </c>
      <c r="R251" s="172">
        <f>761/30</f>
        <v>25.366666666666667</v>
      </c>
      <c r="S251" s="173">
        <f>+(339006+40081)/30</f>
        <v>12636.233333333334</v>
      </c>
      <c r="T251" s="173">
        <f>109151/30</f>
        <v>3638.366666666667</v>
      </c>
      <c r="U251" s="173">
        <f>297202/30</f>
        <v>9906.733333333334</v>
      </c>
      <c r="V251" s="173"/>
      <c r="W251" s="173">
        <f>336532/30</f>
        <v>11217.733333333334</v>
      </c>
      <c r="X251" s="173">
        <f>1764624/30</f>
        <v>58820.8</v>
      </c>
      <c r="Y251" s="173">
        <f>1247820/30</f>
        <v>41594</v>
      </c>
      <c r="Z251" s="173">
        <f>195137/30</f>
        <v>6504.566666666667</v>
      </c>
      <c r="AA251" s="173">
        <v>329.46666666666664</v>
      </c>
      <c r="AB251" s="173">
        <v>99.4</v>
      </c>
      <c r="AC251" s="173">
        <f>67477/30</f>
        <v>2249.233333333333</v>
      </c>
      <c r="AD251" s="173">
        <f>153991/30</f>
        <v>5133.033333333334</v>
      </c>
      <c r="AE251" s="173">
        <v>19.366666666666667</v>
      </c>
      <c r="AF251" s="173"/>
      <c r="AG251" s="173"/>
      <c r="AH251" s="173"/>
      <c r="AI251" s="148">
        <f t="shared" si="30"/>
        <v>177883.13333333336</v>
      </c>
      <c r="AJ251" s="252">
        <f>+AJ250</f>
        <v>172730.52328767124</v>
      </c>
      <c r="AK251" s="138">
        <f t="shared" si="28"/>
        <v>-2993.092473118275</v>
      </c>
    </row>
    <row r="252" spans="3:37" ht="12.75">
      <c r="C252" s="182">
        <f t="shared" si="22"/>
        <v>2014.416658500012</v>
      </c>
      <c r="D252" s="136">
        <v>41760</v>
      </c>
      <c r="E252" s="172">
        <f>43335/31</f>
        <v>1397.9032258064517</v>
      </c>
      <c r="F252" s="172">
        <f>12073/31</f>
        <v>389.4516129032258</v>
      </c>
      <c r="G252" s="172">
        <f>44466/31</f>
        <v>1434.3870967741937</v>
      </c>
      <c r="H252" s="172">
        <f>19050/31</f>
        <v>614.516129032258</v>
      </c>
      <c r="I252" s="172">
        <f>3807/31</f>
        <v>122.80645161290323</v>
      </c>
      <c r="J252" s="280">
        <f>109035/31</f>
        <v>3517.2580645161293</v>
      </c>
      <c r="K252" s="281"/>
      <c r="L252" s="172">
        <f>6129/31</f>
        <v>197.70967741935485</v>
      </c>
      <c r="M252" s="172">
        <f>321043/31</f>
        <v>10356.225806451614</v>
      </c>
      <c r="N252" s="172"/>
      <c r="O252" s="172">
        <f>202755/31</f>
        <v>6540.4838709677415</v>
      </c>
      <c r="P252" s="172"/>
      <c r="Q252" s="172">
        <f>2083/31</f>
        <v>67.19354838709677</v>
      </c>
      <c r="R252" s="172">
        <f>725/31</f>
        <v>23.387096774193548</v>
      </c>
      <c r="S252" s="173">
        <f>+(337789+43167)/31</f>
        <v>12288.90322580645</v>
      </c>
      <c r="T252" s="173">
        <f>154337/31</f>
        <v>4978.612903225807</v>
      </c>
      <c r="U252" s="173">
        <f>300212/31</f>
        <v>9684.258064516129</v>
      </c>
      <c r="V252" s="173"/>
      <c r="W252" s="173">
        <f>418425/31</f>
        <v>13497.58064516129</v>
      </c>
      <c r="X252" s="173">
        <f>1770179/31</f>
        <v>57102.54838709677</v>
      </c>
      <c r="Y252" s="173">
        <f>1162245/31</f>
        <v>37491.77419354839</v>
      </c>
      <c r="Z252" s="173">
        <f>181328/31</f>
        <v>5849.290322580645</v>
      </c>
      <c r="AA252" s="173">
        <v>256.2903225806452</v>
      </c>
      <c r="AB252" s="173">
        <v>107.25806451612904</v>
      </c>
      <c r="AC252" s="173">
        <f>72581/31</f>
        <v>2341.3225806451615</v>
      </c>
      <c r="AD252" s="173">
        <f>163900/31</f>
        <v>5287.096774193548</v>
      </c>
      <c r="AE252" s="173"/>
      <c r="AF252" s="173"/>
      <c r="AG252" s="173"/>
      <c r="AH252" s="173"/>
      <c r="AI252" s="148">
        <f t="shared" si="30"/>
        <v>173546.2580645161</v>
      </c>
      <c r="AJ252" s="252">
        <f>+AJ251</f>
        <v>172730.52328767124</v>
      </c>
      <c r="AK252" s="138">
        <f t="shared" si="28"/>
        <v>-4336.875268817268</v>
      </c>
    </row>
    <row r="253" spans="3:37" ht="12.75">
      <c r="C253" s="182">
        <f t="shared" si="22"/>
        <v>2014.4999918000121</v>
      </c>
      <c r="D253" s="136">
        <v>41791</v>
      </c>
      <c r="E253" s="172">
        <v>1557</v>
      </c>
      <c r="F253" s="172">
        <v>400</v>
      </c>
      <c r="G253" s="172">
        <v>1433</v>
      </c>
      <c r="H253" s="172">
        <v>617</v>
      </c>
      <c r="I253" s="172">
        <v>134</v>
      </c>
      <c r="J253" s="280">
        <v>3547</v>
      </c>
      <c r="K253" s="281"/>
      <c r="L253" s="172">
        <v>199</v>
      </c>
      <c r="M253" s="172">
        <v>10330</v>
      </c>
      <c r="N253" s="172"/>
      <c r="O253" s="172">
        <v>6810</v>
      </c>
      <c r="P253" s="172"/>
      <c r="Q253" s="172">
        <v>70</v>
      </c>
      <c r="R253" s="172">
        <v>22</v>
      </c>
      <c r="S253" s="173">
        <v>12130</v>
      </c>
      <c r="T253" s="173">
        <v>6934</v>
      </c>
      <c r="U253" s="173">
        <v>9369</v>
      </c>
      <c r="V253" s="173"/>
      <c r="W253" s="173">
        <v>13794</v>
      </c>
      <c r="X253" s="173">
        <v>60381</v>
      </c>
      <c r="Y253" s="173">
        <v>28862</v>
      </c>
      <c r="Z253" s="173">
        <v>3855</v>
      </c>
      <c r="AA253" s="173">
        <v>283</v>
      </c>
      <c r="AB253" s="173">
        <v>74</v>
      </c>
      <c r="AC253" s="173">
        <v>2304</v>
      </c>
      <c r="AD253" s="173">
        <v>5745</v>
      </c>
      <c r="AE253" s="173"/>
      <c r="AF253" s="173"/>
      <c r="AG253" s="173"/>
      <c r="AH253" s="173"/>
      <c r="AI253" s="148">
        <f aca="true" t="shared" si="31" ref="AI253:AI266">SUM(E253:AH253)</f>
        <v>168850</v>
      </c>
      <c r="AJ253" s="252">
        <f>+AJ252</f>
        <v>172730.52328767124</v>
      </c>
      <c r="AK253" s="138">
        <f t="shared" si="28"/>
        <v>-4696.258064516092</v>
      </c>
    </row>
    <row r="254" spans="3:37" ht="12.75">
      <c r="C254" s="182">
        <f t="shared" si="22"/>
        <v>2014.5833251000122</v>
      </c>
      <c r="D254" s="136">
        <v>41821</v>
      </c>
      <c r="E254" s="172">
        <v>1617.6774193548388</v>
      </c>
      <c r="F254" s="172">
        <v>382.61290322580646</v>
      </c>
      <c r="G254" s="172">
        <v>1498.5483870967741</v>
      </c>
      <c r="H254" s="172">
        <v>720.4516129032259</v>
      </c>
      <c r="I254" s="172">
        <v>129.6451612903226</v>
      </c>
      <c r="J254" s="280">
        <v>3668.6129032258063</v>
      </c>
      <c r="K254" s="281">
        <v>0</v>
      </c>
      <c r="L254" s="172">
        <v>192.09677419354838</v>
      </c>
      <c r="M254" s="172">
        <v>10265.258064516129</v>
      </c>
      <c r="N254" s="172"/>
      <c r="O254" s="172">
        <v>6113.677419354839</v>
      </c>
      <c r="P254" s="172"/>
      <c r="Q254" s="172">
        <v>69.45161290322581</v>
      </c>
      <c r="R254" s="172">
        <v>22.322580645161292</v>
      </c>
      <c r="S254" s="173">
        <v>12034.58064516129</v>
      </c>
      <c r="T254" s="173">
        <v>4460.096774193548</v>
      </c>
      <c r="U254" s="173">
        <v>8279.516129032258</v>
      </c>
      <c r="V254" s="173"/>
      <c r="W254" s="173">
        <v>13959.032258064517</v>
      </c>
      <c r="X254" s="173">
        <v>59400.1935483871</v>
      </c>
      <c r="Y254" s="173">
        <v>34352.87096774193</v>
      </c>
      <c r="Z254" s="173">
        <v>8225.741935483871</v>
      </c>
      <c r="AA254" s="173">
        <v>389.2258064516129</v>
      </c>
      <c r="AB254" s="173">
        <v>90.6774193548387</v>
      </c>
      <c r="AC254" s="173">
        <v>2305.483870967742</v>
      </c>
      <c r="AD254" s="173">
        <v>5685</v>
      </c>
      <c r="AE254" s="173"/>
      <c r="AF254" s="173"/>
      <c r="AG254" s="173"/>
      <c r="AH254" s="173"/>
      <c r="AI254" s="148">
        <f t="shared" si="31"/>
        <v>173862.7741935484</v>
      </c>
      <c r="AJ254" s="252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2">
        <f t="shared" si="22"/>
        <v>2014.6666584000122</v>
      </c>
      <c r="D255" s="136">
        <v>41852</v>
      </c>
      <c r="E255" s="172">
        <v>2009.0967741935483</v>
      </c>
      <c r="F255" s="172">
        <v>380.6774193548387</v>
      </c>
      <c r="G255" s="172">
        <v>1568.1290322580646</v>
      </c>
      <c r="H255" s="172">
        <v>685.0322580645161</v>
      </c>
      <c r="I255" s="172">
        <v>127.03225806451613</v>
      </c>
      <c r="J255" s="280">
        <v>3622.1612903225805</v>
      </c>
      <c r="K255" s="281"/>
      <c r="L255" s="172">
        <v>194.06451612903226</v>
      </c>
      <c r="M255" s="172">
        <v>10229.387096774193</v>
      </c>
      <c r="N255" s="172"/>
      <c r="O255" s="172">
        <v>5431.1612903225805</v>
      </c>
      <c r="P255" s="172"/>
      <c r="Q255" s="172">
        <v>66.64516129032258</v>
      </c>
      <c r="R255" s="172">
        <v>21.774193548387096</v>
      </c>
      <c r="S255" s="173">
        <v>11472.870967741936</v>
      </c>
      <c r="T255" s="173">
        <v>4686.935483870968</v>
      </c>
      <c r="U255" s="173">
        <v>10511.322580645161</v>
      </c>
      <c r="V255" s="173"/>
      <c r="W255" s="173">
        <v>12384.225806451614</v>
      </c>
      <c r="X255" s="173">
        <v>55158</v>
      </c>
      <c r="Y255" s="173">
        <v>34475.967741935485</v>
      </c>
      <c r="Z255" s="173">
        <v>2688</v>
      </c>
      <c r="AA255" s="173">
        <v>221.83870967741936</v>
      </c>
      <c r="AB255" s="173">
        <v>66</v>
      </c>
      <c r="AC255" s="173">
        <v>2214.064516129032</v>
      </c>
      <c r="AD255" s="173">
        <v>6099.225806451613</v>
      </c>
      <c r="AE255" s="173"/>
      <c r="AF255" s="173"/>
      <c r="AG255" s="173"/>
      <c r="AH255" s="173"/>
      <c r="AI255" s="148">
        <f t="shared" si="31"/>
        <v>164313.61290322582</v>
      </c>
      <c r="AJ255" s="252">
        <f t="shared" si="32"/>
        <v>172730.52328767124</v>
      </c>
      <c r="AK255" s="138">
        <f t="shared" si="28"/>
        <v>-9549.161290322576</v>
      </c>
    </row>
    <row r="256" spans="3:37" ht="12.75">
      <c r="C256" s="182">
        <f t="shared" si="22"/>
        <v>2014.7499917000123</v>
      </c>
      <c r="D256" s="136">
        <v>41883</v>
      </c>
      <c r="E256" s="172">
        <v>1817</v>
      </c>
      <c r="F256" s="172">
        <v>376</v>
      </c>
      <c r="G256" s="172">
        <v>1568</v>
      </c>
      <c r="H256" s="172">
        <v>699</v>
      </c>
      <c r="I256" s="172">
        <v>148</v>
      </c>
      <c r="J256" s="280">
        <v>3566</v>
      </c>
      <c r="K256" s="281"/>
      <c r="L256" s="172">
        <v>193</v>
      </c>
      <c r="M256" s="172">
        <v>10525</v>
      </c>
      <c r="N256" s="172"/>
      <c r="O256" s="172">
        <v>5937</v>
      </c>
      <c r="P256" s="172"/>
      <c r="Q256" s="172">
        <v>63</v>
      </c>
      <c r="R256" s="172">
        <v>22</v>
      </c>
      <c r="S256" s="173">
        <f>11070+1293</f>
        <v>12363</v>
      </c>
      <c r="T256" s="173">
        <v>4572</v>
      </c>
      <c r="U256" s="173">
        <v>9542</v>
      </c>
      <c r="V256" s="173"/>
      <c r="W256" s="173">
        <v>13345</v>
      </c>
      <c r="X256" s="173">
        <v>58900</v>
      </c>
      <c r="Y256" s="173">
        <v>34424</v>
      </c>
      <c r="Z256" s="173">
        <v>4499</v>
      </c>
      <c r="AA256" s="173">
        <v>281</v>
      </c>
      <c r="AB256" s="173">
        <v>68</v>
      </c>
      <c r="AC256" s="173">
        <v>2246</v>
      </c>
      <c r="AD256" s="173">
        <v>5361</v>
      </c>
      <c r="AE256" s="173">
        <v>436</v>
      </c>
      <c r="AF256" s="173"/>
      <c r="AG256" s="173"/>
      <c r="AH256" s="173"/>
      <c r="AI256" s="148">
        <f t="shared" si="31"/>
        <v>170951</v>
      </c>
      <c r="AJ256" s="252">
        <f t="shared" si="32"/>
        <v>172730.52328767124</v>
      </c>
      <c r="AK256" s="138">
        <f t="shared" si="28"/>
        <v>6637.387096774182</v>
      </c>
    </row>
    <row r="257" spans="3:37" ht="12.75">
      <c r="C257" s="182">
        <f t="shared" si="22"/>
        <v>2014.8333250000123</v>
      </c>
      <c r="D257" s="136">
        <v>41913</v>
      </c>
      <c r="E257" s="172">
        <v>1873</v>
      </c>
      <c r="F257" s="172">
        <v>373</v>
      </c>
      <c r="G257" s="172">
        <v>1610</v>
      </c>
      <c r="H257" s="172">
        <v>700</v>
      </c>
      <c r="I257" s="172">
        <v>139</v>
      </c>
      <c r="J257" s="280">
        <v>3564</v>
      </c>
      <c r="K257" s="281"/>
      <c r="L257" s="172">
        <v>191</v>
      </c>
      <c r="M257" s="172">
        <v>10451</v>
      </c>
      <c r="N257" s="172"/>
      <c r="O257" s="172">
        <v>6025</v>
      </c>
      <c r="P257" s="172"/>
      <c r="Q257" s="172">
        <v>61</v>
      </c>
      <c r="R257" s="172">
        <v>26</v>
      </c>
      <c r="S257" s="173">
        <f>10513+1009</f>
        <v>11522</v>
      </c>
      <c r="T257" s="173">
        <v>6206</v>
      </c>
      <c r="U257" s="173">
        <v>9216</v>
      </c>
      <c r="V257" s="173"/>
      <c r="W257" s="173">
        <v>12242</v>
      </c>
      <c r="X257" s="173">
        <v>58047</v>
      </c>
      <c r="Y257" s="173">
        <v>41123</v>
      </c>
      <c r="Z257" s="173">
        <v>6680</v>
      </c>
      <c r="AA257" s="173">
        <v>244</v>
      </c>
      <c r="AB257" s="173">
        <v>110</v>
      </c>
      <c r="AC257" s="173">
        <v>1920</v>
      </c>
      <c r="AD257" s="173">
        <v>5887</v>
      </c>
      <c r="AE257" s="173">
        <v>2096</v>
      </c>
      <c r="AF257" s="173"/>
      <c r="AG257" s="173"/>
      <c r="AH257" s="173"/>
      <c r="AI257" s="148">
        <f t="shared" si="31"/>
        <v>180306</v>
      </c>
      <c r="AJ257" s="252">
        <f t="shared" si="32"/>
        <v>172730.52328767124</v>
      </c>
      <c r="AK257" s="138">
        <f t="shared" si="28"/>
        <v>9355</v>
      </c>
    </row>
    <row r="258" spans="3:37" ht="12.75">
      <c r="C258" s="182">
        <f t="shared" si="22"/>
        <v>2014.9166583000124</v>
      </c>
      <c r="D258" s="136">
        <v>41944</v>
      </c>
      <c r="E258" s="172">
        <v>1722</v>
      </c>
      <c r="F258" s="172">
        <v>385.9</v>
      </c>
      <c r="G258" s="172">
        <v>1580.0333333333333</v>
      </c>
      <c r="H258" s="172">
        <v>684.8333333333334</v>
      </c>
      <c r="I258" s="172">
        <v>136.16666666666666</v>
      </c>
      <c r="J258" s="280">
        <v>3483.9666666666667</v>
      </c>
      <c r="K258" s="281"/>
      <c r="L258" s="172">
        <v>192.33333333333334</v>
      </c>
      <c r="M258" s="172">
        <v>10387.033333333333</v>
      </c>
      <c r="N258" s="172"/>
      <c r="O258" s="172">
        <v>5509.4</v>
      </c>
      <c r="P258" s="172"/>
      <c r="Q258" s="172">
        <v>56.766666666666666</v>
      </c>
      <c r="R258" s="172">
        <v>23.866666666666667</v>
      </c>
      <c r="S258" s="173">
        <v>12127.333333333334</v>
      </c>
      <c r="T258" s="173">
        <v>5451.766666666666</v>
      </c>
      <c r="U258" s="173">
        <v>9420.4</v>
      </c>
      <c r="V258" s="173"/>
      <c r="W258" s="173">
        <v>10942.966666666667</v>
      </c>
      <c r="X258" s="173">
        <v>56420.03333333333</v>
      </c>
      <c r="Y258" s="173">
        <v>41538.2</v>
      </c>
      <c r="Z258" s="173">
        <v>6628.066666666667</v>
      </c>
      <c r="AA258" s="173">
        <v>381.6</v>
      </c>
      <c r="AB258" s="173">
        <v>39.266666666666666</v>
      </c>
      <c r="AC258" s="173">
        <v>1941.4</v>
      </c>
      <c r="AD258" s="173">
        <v>6399.966666666666</v>
      </c>
      <c r="AE258" s="173">
        <v>2199.5666666666666</v>
      </c>
      <c r="AF258" s="173"/>
      <c r="AG258" s="173"/>
      <c r="AH258" s="173"/>
      <c r="AI258" s="148">
        <f t="shared" si="31"/>
        <v>177652.8666666667</v>
      </c>
      <c r="AJ258" s="252">
        <f t="shared" si="32"/>
        <v>172730.52328767124</v>
      </c>
      <c r="AK258" s="138">
        <f t="shared" si="28"/>
        <v>-2653.1333333333023</v>
      </c>
    </row>
    <row r="259" spans="3:37" ht="14.25" customHeight="1">
      <c r="C259" s="182">
        <f t="shared" si="22"/>
        <v>2014.9999916000124</v>
      </c>
      <c r="D259" s="170">
        <v>41974</v>
      </c>
      <c r="E259" s="175">
        <v>1689.9032258064517</v>
      </c>
      <c r="F259" s="175">
        <v>369.5483870967742</v>
      </c>
      <c r="G259" s="175">
        <v>1558.6451612903227</v>
      </c>
      <c r="H259" s="175">
        <v>672.6774193548387</v>
      </c>
      <c r="I259" s="175">
        <v>142.96774193548387</v>
      </c>
      <c r="J259" s="290">
        <v>3553.451612903226</v>
      </c>
      <c r="K259" s="291"/>
      <c r="L259" s="175">
        <v>192.48387096774192</v>
      </c>
      <c r="M259" s="175">
        <v>10229.516129032258</v>
      </c>
      <c r="N259" s="175"/>
      <c r="O259" s="175">
        <v>5328.354838709677</v>
      </c>
      <c r="P259" s="175"/>
      <c r="Q259" s="175">
        <v>58.16129032258065</v>
      </c>
      <c r="R259" s="175">
        <v>21.483870967741936</v>
      </c>
      <c r="S259" s="176">
        <v>11744.41935483871</v>
      </c>
      <c r="T259" s="176">
        <v>4775.5161290322585</v>
      </c>
      <c r="U259" s="176">
        <v>8156.677419354839</v>
      </c>
      <c r="V259" s="176"/>
      <c r="W259" s="176">
        <v>11581.322580645161</v>
      </c>
      <c r="X259" s="176">
        <v>56201.67741935484</v>
      </c>
      <c r="Y259" s="176">
        <v>41640.709677419356</v>
      </c>
      <c r="Z259" s="176">
        <v>6473.741935483871</v>
      </c>
      <c r="AA259" s="176">
        <v>327.8709677419355</v>
      </c>
      <c r="AB259" s="176">
        <v>103.87096774193549</v>
      </c>
      <c r="AC259" s="176">
        <v>1512.2903225806451</v>
      </c>
      <c r="AD259" s="176">
        <v>5657.548387096775</v>
      </c>
      <c r="AE259" s="176">
        <v>2131.3548387096776</v>
      </c>
      <c r="AF259" s="176"/>
      <c r="AG259" s="176"/>
      <c r="AH259" s="176"/>
      <c r="AI259" s="148">
        <f t="shared" si="31"/>
        <v>174124.19354838712</v>
      </c>
      <c r="AJ259" s="252">
        <f t="shared" si="32"/>
        <v>172730.52328767124</v>
      </c>
      <c r="AK259" s="138">
        <f t="shared" si="28"/>
        <v>-3528.6731182795775</v>
      </c>
    </row>
    <row r="260" spans="3:37" ht="12.75">
      <c r="C260" s="182">
        <f t="shared" si="22"/>
        <v>2015.0833249000125</v>
      </c>
      <c r="D260" s="171">
        <v>42005</v>
      </c>
      <c r="E260" s="177">
        <v>1494.4516129032259</v>
      </c>
      <c r="F260" s="177">
        <v>355.83870967741933</v>
      </c>
      <c r="G260" s="177">
        <v>1485.967741935484</v>
      </c>
      <c r="H260" s="177">
        <v>657.5483870967741</v>
      </c>
      <c r="I260" s="177">
        <v>167.8709677419355</v>
      </c>
      <c r="J260" s="288">
        <v>3458.1612903225805</v>
      </c>
      <c r="K260" s="289"/>
      <c r="L260" s="177">
        <v>192.93548387096774</v>
      </c>
      <c r="M260" s="177">
        <v>10268.774193548386</v>
      </c>
      <c r="N260" s="177"/>
      <c r="O260" s="177">
        <v>4834.419354838709</v>
      </c>
      <c r="P260" s="177"/>
      <c r="Q260" s="177">
        <v>54.74193548387097</v>
      </c>
      <c r="R260" s="177">
        <v>19.322580645161292</v>
      </c>
      <c r="S260" s="178">
        <v>11570.677419354839</v>
      </c>
      <c r="T260" s="178">
        <v>3871.6451612903224</v>
      </c>
      <c r="U260" s="178">
        <v>8408.58064516129</v>
      </c>
      <c r="V260" s="178"/>
      <c r="W260" s="178">
        <v>11228.064516129032</v>
      </c>
      <c r="X260" s="178">
        <v>53014.6129032258</v>
      </c>
      <c r="Y260" s="178">
        <v>40950.48387096774</v>
      </c>
      <c r="Z260" s="178">
        <v>6223.935483870968</v>
      </c>
      <c r="AA260" s="178">
        <v>278.2903225806452</v>
      </c>
      <c r="AB260" s="178">
        <v>61.903225806451616</v>
      </c>
      <c r="AC260" s="178">
        <v>1984.8709677419354</v>
      </c>
      <c r="AD260" s="178">
        <v>4522.064516129032</v>
      </c>
      <c r="AE260" s="178">
        <v>683.3870967741935</v>
      </c>
      <c r="AF260" s="178"/>
      <c r="AG260" s="178"/>
      <c r="AH260" s="178"/>
      <c r="AI260" s="148">
        <f t="shared" si="31"/>
        <v>165788.54838709676</v>
      </c>
      <c r="AJ260" s="252">
        <v>149405</v>
      </c>
      <c r="AK260" s="138">
        <f t="shared" si="28"/>
        <v>-8335.645161290362</v>
      </c>
    </row>
    <row r="261" spans="3:37" ht="12.75">
      <c r="C261" s="182">
        <f t="shared" si="22"/>
        <v>2015.1666582000125</v>
      </c>
      <c r="D261" s="171">
        <v>42036</v>
      </c>
      <c r="E261" s="177">
        <v>1457.4285714285713</v>
      </c>
      <c r="F261" s="177">
        <v>375.17857142857144</v>
      </c>
      <c r="G261" s="177">
        <v>1445.7857142857142</v>
      </c>
      <c r="H261" s="177">
        <v>634</v>
      </c>
      <c r="I261" s="177">
        <v>163.96428571428572</v>
      </c>
      <c r="J261" s="288">
        <v>3550.9285714285716</v>
      </c>
      <c r="K261" s="289"/>
      <c r="L261" s="177">
        <v>193.14285714285714</v>
      </c>
      <c r="M261" s="177">
        <v>10297.214285714286</v>
      </c>
      <c r="N261" s="177"/>
      <c r="O261" s="177">
        <v>4797.535714285715</v>
      </c>
      <c r="P261" s="177"/>
      <c r="Q261" s="177">
        <v>50.285714285714285</v>
      </c>
      <c r="R261" s="177">
        <v>21.25</v>
      </c>
      <c r="S261" s="178">
        <v>10968.75</v>
      </c>
      <c r="T261" s="178">
        <v>3147.5</v>
      </c>
      <c r="U261" s="178">
        <v>6282.392857142857</v>
      </c>
      <c r="V261" s="178"/>
      <c r="W261" s="178">
        <v>8073.642857142857</v>
      </c>
      <c r="X261" s="178">
        <v>55785.03571428572</v>
      </c>
      <c r="Y261" s="178">
        <v>39109</v>
      </c>
      <c r="Z261" s="178">
        <v>5564.464285714285</v>
      </c>
      <c r="AA261" s="178">
        <v>318.25</v>
      </c>
      <c r="AB261" s="178">
        <v>62.642857142857146</v>
      </c>
      <c r="AC261" s="178">
        <v>1782.9642857142858</v>
      </c>
      <c r="AD261" s="178">
        <v>2910.214285714286</v>
      </c>
      <c r="AE261" s="178">
        <v>2210.535714285714</v>
      </c>
      <c r="AF261" s="178"/>
      <c r="AG261" s="178"/>
      <c r="AH261" s="178"/>
      <c r="AI261" s="148">
        <f t="shared" si="31"/>
        <v>159202.10714285716</v>
      </c>
      <c r="AJ261" s="252">
        <f>+AJ260</f>
        <v>149405</v>
      </c>
      <c r="AK261" s="138">
        <f t="shared" si="28"/>
        <v>-6586.441244239599</v>
      </c>
    </row>
    <row r="262" spans="3:37" ht="12.75">
      <c r="C262" s="182">
        <f t="shared" si="22"/>
        <v>2015.2499915000126</v>
      </c>
      <c r="D262" s="171">
        <v>42064</v>
      </c>
      <c r="E262" s="177">
        <v>1393.032258064516</v>
      </c>
      <c r="F262" s="177">
        <v>356.8709677419355</v>
      </c>
      <c r="G262" s="177">
        <v>1333.3870967741937</v>
      </c>
      <c r="H262" s="177">
        <v>590.3548387096774</v>
      </c>
      <c r="I262" s="177">
        <v>173.03225806451613</v>
      </c>
      <c r="J262" s="288">
        <v>3401.6451612903224</v>
      </c>
      <c r="K262" s="289"/>
      <c r="L262" s="177">
        <v>190.16129032258064</v>
      </c>
      <c r="M262" s="177">
        <v>10335.838709677419</v>
      </c>
      <c r="N262" s="177"/>
      <c r="O262" s="177">
        <v>4209.612903225807</v>
      </c>
      <c r="P262" s="177"/>
      <c r="Q262" s="177">
        <v>54.935483870967744</v>
      </c>
      <c r="R262" s="177">
        <v>12.612903225806452</v>
      </c>
      <c r="S262" s="178">
        <v>11299.193548387097</v>
      </c>
      <c r="T262" s="178">
        <v>7395.322580645161</v>
      </c>
      <c r="U262" s="178">
        <v>8728.161290322581</v>
      </c>
      <c r="V262" s="178"/>
      <c r="W262" s="178">
        <v>10221.709677419354</v>
      </c>
      <c r="X262" s="178">
        <v>55341.967741935485</v>
      </c>
      <c r="Y262" s="178">
        <v>35016.22580645161</v>
      </c>
      <c r="Z262" s="178">
        <v>5793.967741935484</v>
      </c>
      <c r="AA262" s="178">
        <v>292.9032258064516</v>
      </c>
      <c r="AB262" s="178">
        <v>93.35483870967742</v>
      </c>
      <c r="AC262" s="178">
        <v>2016.8709677419354</v>
      </c>
      <c r="AD262" s="178">
        <v>757.6451612903226</v>
      </c>
      <c r="AE262" s="178">
        <v>2133.3225806451615</v>
      </c>
      <c r="AF262" s="178"/>
      <c r="AG262" s="178"/>
      <c r="AH262" s="178"/>
      <c r="AI262" s="148">
        <f t="shared" si="31"/>
        <v>161142.12903225806</v>
      </c>
      <c r="AJ262" s="252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2">
        <f t="shared" si="22"/>
        <v>2015.3333248000126</v>
      </c>
      <c r="D263" s="171">
        <v>42095</v>
      </c>
      <c r="E263" s="177">
        <v>1386.4333333333334</v>
      </c>
      <c r="F263" s="177">
        <v>358.8</v>
      </c>
      <c r="G263" s="177">
        <v>991.0666666666667</v>
      </c>
      <c r="H263" s="177">
        <v>335.1333333333333</v>
      </c>
      <c r="I263" s="177">
        <v>167.53333333333333</v>
      </c>
      <c r="J263" s="288">
        <v>3415.6666666666665</v>
      </c>
      <c r="K263" s="289"/>
      <c r="L263" s="177">
        <v>192.06666666666666</v>
      </c>
      <c r="M263" s="177">
        <v>10520.9</v>
      </c>
      <c r="N263" s="177"/>
      <c r="O263" s="177">
        <v>3862</v>
      </c>
      <c r="P263" s="177"/>
      <c r="Q263" s="177">
        <v>53.2</v>
      </c>
      <c r="R263" s="177">
        <v>26.3</v>
      </c>
      <c r="S263" s="178">
        <v>11492.7</v>
      </c>
      <c r="T263" s="178">
        <v>3599.633333333333</v>
      </c>
      <c r="U263" s="178">
        <v>8839</v>
      </c>
      <c r="V263" s="178"/>
      <c r="W263" s="178">
        <v>10141.7</v>
      </c>
      <c r="X263" s="178">
        <v>43388.2</v>
      </c>
      <c r="Y263" s="178">
        <v>33255.166666666664</v>
      </c>
      <c r="Z263" s="178">
        <v>4188.666666666667</v>
      </c>
      <c r="AA263" s="178">
        <v>209.7</v>
      </c>
      <c r="AB263" s="178">
        <v>60.7</v>
      </c>
      <c r="AC263" s="178">
        <v>2183.4333333333334</v>
      </c>
      <c r="AD263" s="178">
        <v>725.5333333333333</v>
      </c>
      <c r="AE263" s="178">
        <v>3216.733333333333</v>
      </c>
      <c r="AF263" s="178"/>
      <c r="AG263" s="178"/>
      <c r="AH263" s="178"/>
      <c r="AI263" s="148">
        <f t="shared" si="31"/>
        <v>142610.26666666666</v>
      </c>
      <c r="AJ263" s="252">
        <f t="shared" si="33"/>
        <v>149405</v>
      </c>
      <c r="AK263" s="138">
        <f t="shared" si="34"/>
        <v>-18531.862365591398</v>
      </c>
    </row>
    <row r="264" spans="3:37" ht="12.75">
      <c r="C264" s="182">
        <f t="shared" si="22"/>
        <v>2015.4166581000127</v>
      </c>
      <c r="D264" s="171">
        <v>42125</v>
      </c>
      <c r="E264" s="177">
        <v>1351.225806451613</v>
      </c>
      <c r="F264" s="177">
        <v>380.64516129032256</v>
      </c>
      <c r="G264" s="177">
        <v>1346</v>
      </c>
      <c r="H264" s="177">
        <v>931.7741935483871</v>
      </c>
      <c r="I264" s="177">
        <v>195.19354838709677</v>
      </c>
      <c r="J264" s="288">
        <v>3440.967741935484</v>
      </c>
      <c r="K264" s="289"/>
      <c r="L264" s="177">
        <v>191.93548387096774</v>
      </c>
      <c r="M264" s="177">
        <v>10469.225806451614</v>
      </c>
      <c r="N264" s="177"/>
      <c r="O264" s="177">
        <v>4007.1612903225805</v>
      </c>
      <c r="P264" s="177"/>
      <c r="Q264" s="177">
        <v>57.32258064516129</v>
      </c>
      <c r="R264" s="177">
        <v>19.129032258064516</v>
      </c>
      <c r="S264" s="177">
        <v>10967.032258064517</v>
      </c>
      <c r="T264" s="177">
        <v>4112.419354838709</v>
      </c>
      <c r="U264" s="177">
        <v>8068.903225806452</v>
      </c>
      <c r="V264" s="177"/>
      <c r="W264" s="177">
        <v>10294.451612903225</v>
      </c>
      <c r="X264" s="177">
        <v>41456.354838709674</v>
      </c>
      <c r="Y264" s="177">
        <v>22482.90322580645</v>
      </c>
      <c r="Z264" s="177">
        <v>3724.6129032258063</v>
      </c>
      <c r="AA264" s="177">
        <v>317.64516129032256</v>
      </c>
      <c r="AB264" s="177">
        <v>68.3225806451613</v>
      </c>
      <c r="AC264" s="177">
        <v>2222.0967741935483</v>
      </c>
      <c r="AD264" s="177">
        <v>753.9677419354839</v>
      </c>
      <c r="AE264" s="177">
        <v>3375.1935483870966</v>
      </c>
      <c r="AF264" s="177"/>
      <c r="AG264" s="177"/>
      <c r="AH264" s="177"/>
      <c r="AI264" s="148">
        <f t="shared" si="31"/>
        <v>130234.48387096774</v>
      </c>
      <c r="AJ264" s="252">
        <f t="shared" si="33"/>
        <v>149405</v>
      </c>
      <c r="AK264" s="138">
        <f t="shared" si="34"/>
        <v>-12375.78279569892</v>
      </c>
    </row>
    <row r="265" spans="3:37" ht="12.75">
      <c r="C265" s="182">
        <f t="shared" si="22"/>
        <v>2015.4999914000127</v>
      </c>
      <c r="D265" s="171">
        <v>42156</v>
      </c>
      <c r="E265" s="177">
        <v>1377.7333333333333</v>
      </c>
      <c r="F265" s="177">
        <v>341.1</v>
      </c>
      <c r="G265" s="177">
        <v>1273</v>
      </c>
      <c r="H265" s="177">
        <v>645</v>
      </c>
      <c r="I265" s="177">
        <v>173.5</v>
      </c>
      <c r="J265" s="288">
        <v>3394.3</v>
      </c>
      <c r="K265" s="289"/>
      <c r="L265" s="177">
        <v>95.13333333333334</v>
      </c>
      <c r="M265" s="177">
        <v>10416.5</v>
      </c>
      <c r="N265" s="177"/>
      <c r="O265" s="177">
        <v>4046.8333333333335</v>
      </c>
      <c r="P265" s="177"/>
      <c r="Q265" s="177">
        <v>80.33333333333333</v>
      </c>
      <c r="R265" s="177">
        <v>19.733333333333334</v>
      </c>
      <c r="S265" s="177">
        <v>11380.266666666666</v>
      </c>
      <c r="T265" s="177">
        <v>0</v>
      </c>
      <c r="U265" s="177">
        <v>7988.033333333334</v>
      </c>
      <c r="V265" s="177"/>
      <c r="W265" s="177">
        <v>9948</v>
      </c>
      <c r="X265" s="177">
        <v>52601.5</v>
      </c>
      <c r="Y265" s="177">
        <v>37407.63333333333</v>
      </c>
      <c r="Z265" s="177">
        <v>5834.033333333334</v>
      </c>
      <c r="AA265" s="177">
        <v>185.73333333333332</v>
      </c>
      <c r="AB265" s="177">
        <v>53.96666666666667</v>
      </c>
      <c r="AC265" s="177">
        <v>1819.3666666666666</v>
      </c>
      <c r="AD265" s="177">
        <v>956.3666666666667</v>
      </c>
      <c r="AE265" s="177">
        <v>4015.8</v>
      </c>
      <c r="AF265" s="177"/>
      <c r="AG265" s="177"/>
      <c r="AH265" s="177"/>
      <c r="AI265" s="148">
        <f t="shared" si="31"/>
        <v>154053.86666666667</v>
      </c>
      <c r="AJ265" s="252">
        <f t="shared" si="33"/>
        <v>149405</v>
      </c>
      <c r="AK265" s="138">
        <f t="shared" si="34"/>
        <v>23819.382795698926</v>
      </c>
    </row>
    <row r="266" spans="3:37" ht="12.75">
      <c r="C266" s="182">
        <f t="shared" si="22"/>
        <v>2015.5833247000128</v>
      </c>
      <c r="D266" s="171">
        <v>42186</v>
      </c>
      <c r="E266" s="177">
        <v>1415.774193548387</v>
      </c>
      <c r="F266" s="177">
        <v>348.0967741935484</v>
      </c>
      <c r="G266" s="177">
        <v>1222.2903225806451</v>
      </c>
      <c r="H266" s="177">
        <v>628.0322580645161</v>
      </c>
      <c r="I266" s="177">
        <v>163.38709677419354</v>
      </c>
      <c r="J266" s="288">
        <v>3407.064516129032</v>
      </c>
      <c r="K266" s="289"/>
      <c r="L266" s="177">
        <v>0</v>
      </c>
      <c r="M266" s="177">
        <v>10722.838709677419</v>
      </c>
      <c r="N266" s="177"/>
      <c r="O266" s="177">
        <v>3752.0967741935483</v>
      </c>
      <c r="P266" s="177"/>
      <c r="Q266" s="177">
        <v>61.61290322580645</v>
      </c>
      <c r="R266" s="177">
        <v>19.774193548387096</v>
      </c>
      <c r="S266" s="177">
        <v>10796.483870967742</v>
      </c>
      <c r="T266" s="178">
        <v>2239.6774193548385</v>
      </c>
      <c r="U266" s="177">
        <v>8061.8387096774195</v>
      </c>
      <c r="V266" s="177"/>
      <c r="W266" s="177">
        <v>9421.90322580645</v>
      </c>
      <c r="X266" s="177">
        <v>48275.25806451613</v>
      </c>
      <c r="Y266" s="177">
        <v>30838.16129032258</v>
      </c>
      <c r="Z266" s="177">
        <v>4284.5161290322585</v>
      </c>
      <c r="AA266" s="177">
        <v>336.93548387096774</v>
      </c>
      <c r="AB266" s="178">
        <v>117.38709677419355</v>
      </c>
      <c r="AC266" s="177">
        <v>2013.2903225806451</v>
      </c>
      <c r="AD266" s="177">
        <v>591.0967741935484</v>
      </c>
      <c r="AE266" s="177">
        <v>3797.032258064516</v>
      </c>
      <c r="AF266" s="177"/>
      <c r="AG266" s="177"/>
      <c r="AH266" s="177"/>
      <c r="AI266" s="148">
        <f t="shared" si="31"/>
        <v>142514.54838709676</v>
      </c>
      <c r="AJ266" s="252">
        <f t="shared" si="33"/>
        <v>149405</v>
      </c>
      <c r="AK266" s="138">
        <f t="shared" si="34"/>
        <v>-11539.31827956991</v>
      </c>
    </row>
    <row r="267" spans="3:37" ht="12.75">
      <c r="C267" s="182">
        <f t="shared" si="22"/>
        <v>2015.6666580000128</v>
      </c>
      <c r="D267" s="171">
        <v>42217</v>
      </c>
      <c r="E267" s="177">
        <v>1610.1935483870968</v>
      </c>
      <c r="F267" s="177">
        <v>348.61290322580646</v>
      </c>
      <c r="G267" s="177">
        <v>1197</v>
      </c>
      <c r="H267" s="177">
        <v>641.8387096774194</v>
      </c>
      <c r="I267" s="177">
        <v>152.1290322580645</v>
      </c>
      <c r="J267" s="288">
        <v>3457.12903225806</v>
      </c>
      <c r="K267" s="289"/>
      <c r="L267" s="177">
        <v>271.6774193548387</v>
      </c>
      <c r="M267" s="177">
        <v>11048.774193548386</v>
      </c>
      <c r="N267" s="177"/>
      <c r="O267" s="177">
        <v>3735.8064516129034</v>
      </c>
      <c r="P267" s="177"/>
      <c r="Q267" s="177">
        <v>46.70967741935484</v>
      </c>
      <c r="R267" s="177">
        <v>20.29032258064516</v>
      </c>
      <c r="S267" s="177">
        <f>9383.22580645161+1193</f>
        <v>10576.22580645161</v>
      </c>
      <c r="T267" s="177">
        <v>5249.1612903225805</v>
      </c>
      <c r="U267" s="177">
        <v>7767.8387096774195</v>
      </c>
      <c r="V267" s="177"/>
      <c r="W267" s="178">
        <v>10820.612903225807</v>
      </c>
      <c r="X267" s="178">
        <v>58862.74193548387</v>
      </c>
      <c r="Y267" s="178">
        <v>9016.322580645161</v>
      </c>
      <c r="Z267" s="178">
        <v>2366.032258064516</v>
      </c>
      <c r="AA267" s="177">
        <v>217.29032258064515</v>
      </c>
      <c r="AB267" s="177">
        <v>10.806451612903226</v>
      </c>
      <c r="AC267" s="177">
        <v>2118.2580645161293</v>
      </c>
      <c r="AD267" s="177">
        <v>754.2258064516129</v>
      </c>
      <c r="AE267" s="177">
        <v>4006.032258064516</v>
      </c>
      <c r="AF267" s="177"/>
      <c r="AG267" s="177"/>
      <c r="AH267" s="177"/>
      <c r="AI267" s="148">
        <f aca="true" t="shared" si="35" ref="AI267:AI274">SUM(E267:AH267)</f>
        <v>134295.70967741936</v>
      </c>
      <c r="AJ267" s="252">
        <f>+AJ266</f>
        <v>149405</v>
      </c>
      <c r="AK267" s="138">
        <f t="shared" si="34"/>
        <v>-8218.838709677395</v>
      </c>
    </row>
    <row r="268" spans="3:37" ht="12.75">
      <c r="C268" s="182">
        <f t="shared" si="22"/>
        <v>2015.7499913000129</v>
      </c>
      <c r="D268" s="171">
        <v>42248</v>
      </c>
      <c r="E268" s="177">
        <v>1434.5333333333333</v>
      </c>
      <c r="F268" s="177">
        <v>340.73333333333335</v>
      </c>
      <c r="G268" s="177">
        <v>1202.5666666666666</v>
      </c>
      <c r="H268" s="177">
        <v>630.7333333333333</v>
      </c>
      <c r="I268" s="177">
        <v>156.8</v>
      </c>
      <c r="J268" s="288">
        <v>3365.76666666667</v>
      </c>
      <c r="K268" s="289"/>
      <c r="L268" s="177">
        <v>253.23333333333332</v>
      </c>
      <c r="M268" s="177">
        <v>10995.733333333334</v>
      </c>
      <c r="N268" s="177"/>
      <c r="O268" s="177">
        <v>4088.6</v>
      </c>
      <c r="P268" s="177"/>
      <c r="Q268" s="177">
        <v>59.2</v>
      </c>
      <c r="R268" s="177">
        <v>17.1</v>
      </c>
      <c r="S268" s="177">
        <f>9492.36666666667+1300.23333333333</f>
        <v>10792.6</v>
      </c>
      <c r="T268" s="177">
        <v>7276.433333333333</v>
      </c>
      <c r="U268" s="177">
        <v>5481.9</v>
      </c>
      <c r="V268" s="177"/>
      <c r="W268" s="177">
        <v>4441.533333333334</v>
      </c>
      <c r="X268" s="178">
        <v>53443.333333333336</v>
      </c>
      <c r="Y268" s="178">
        <v>21087.933333333334</v>
      </c>
      <c r="Z268" s="178">
        <v>2572.8</v>
      </c>
      <c r="AA268" s="177">
        <v>365.03333333333336</v>
      </c>
      <c r="AB268" s="177">
        <v>124.93333333333334</v>
      </c>
      <c r="AC268" s="177">
        <v>1973.6</v>
      </c>
      <c r="AD268" s="177">
        <v>1077.9</v>
      </c>
      <c r="AE268" s="177">
        <v>3919.4333333333334</v>
      </c>
      <c r="AF268" s="177"/>
      <c r="AG268" s="177"/>
      <c r="AH268" s="177"/>
      <c r="AI268" s="148">
        <f t="shared" si="35"/>
        <v>135102.43333333335</v>
      </c>
      <c r="AJ268" s="252">
        <f>+AJ267</f>
        <v>149405</v>
      </c>
      <c r="AK268" s="138">
        <f t="shared" si="34"/>
        <v>806.7236559139856</v>
      </c>
    </row>
    <row r="269" spans="3:37" ht="12.75">
      <c r="C269" s="182">
        <f t="shared" si="22"/>
        <v>2015.833324600013</v>
      </c>
      <c r="D269" s="171">
        <v>42278</v>
      </c>
      <c r="E269" s="177">
        <v>1323.2903225806451</v>
      </c>
      <c r="F269" s="177">
        <v>360.0967741935484</v>
      </c>
      <c r="G269" s="177">
        <v>1172.258064516129</v>
      </c>
      <c r="H269" s="177">
        <v>637.1290322580645</v>
      </c>
      <c r="I269" s="177">
        <v>151.2258064516129</v>
      </c>
      <c r="J269" s="288">
        <v>3472.967741935484</v>
      </c>
      <c r="K269" s="289"/>
      <c r="L269" s="177">
        <v>241.70967741935485</v>
      </c>
      <c r="M269" s="177">
        <v>10977.645161290322</v>
      </c>
      <c r="N269" s="178"/>
      <c r="O269" s="177">
        <v>3915.4193548387098</v>
      </c>
      <c r="P269" s="178"/>
      <c r="Q269" s="177">
        <v>66.64516129032258</v>
      </c>
      <c r="R269" s="177">
        <v>19.774193548387096</v>
      </c>
      <c r="S269" s="177">
        <v>10558.2580645161</v>
      </c>
      <c r="T269" s="177">
        <v>2574.967741935484</v>
      </c>
      <c r="U269" s="177">
        <v>6749.225806451613</v>
      </c>
      <c r="V269" s="177">
        <v>9436.225806451614</v>
      </c>
      <c r="W269" s="177">
        <v>678</v>
      </c>
      <c r="X269" s="178">
        <v>51913.032258064515</v>
      </c>
      <c r="Y269" s="178">
        <v>36384.06451612903</v>
      </c>
      <c r="Z269" s="178">
        <v>5325.129032258064</v>
      </c>
      <c r="AA269" s="178">
        <v>221.41935483870967</v>
      </c>
      <c r="AB269" s="178">
        <v>10.387096774193548</v>
      </c>
      <c r="AC269" s="178">
        <v>1903.258064516129</v>
      </c>
      <c r="AD269" s="178">
        <v>1561.4193548387098</v>
      </c>
      <c r="AE269" s="177">
        <v>3673.9032258064517</v>
      </c>
      <c r="AF269" s="178"/>
      <c r="AG269" s="178"/>
      <c r="AH269" s="177"/>
      <c r="AI269" s="148">
        <f t="shared" si="35"/>
        <v>153327.45161290315</v>
      </c>
      <c r="AJ269" s="252">
        <f>+AJ268</f>
        <v>149405</v>
      </c>
      <c r="AK269" s="138">
        <f>+AI269-AI268</f>
        <v>18225.018279569806</v>
      </c>
    </row>
    <row r="270" spans="3:37" ht="12.75">
      <c r="C270" s="182">
        <f>+C269+0.0833333</f>
        <v>2015.916657900013</v>
      </c>
      <c r="D270" s="171">
        <v>42309</v>
      </c>
      <c r="E270" s="177">
        <v>1220.2</v>
      </c>
      <c r="F270" s="177">
        <v>357.03333333333336</v>
      </c>
      <c r="G270" s="177">
        <v>1097.3</v>
      </c>
      <c r="H270" s="177">
        <v>672.3</v>
      </c>
      <c r="I270" s="177">
        <v>143.6</v>
      </c>
      <c r="J270" s="288">
        <v>3349.4</v>
      </c>
      <c r="K270" s="289"/>
      <c r="L270" s="177">
        <v>169.4</v>
      </c>
      <c r="M270" s="177">
        <v>11007.933333333332</v>
      </c>
      <c r="N270" s="177"/>
      <c r="O270" s="177">
        <v>3822.1</v>
      </c>
      <c r="P270" s="177"/>
      <c r="Q270" s="177">
        <v>63.666666666666664</v>
      </c>
      <c r="R270" s="177">
        <v>17.166666666666668</v>
      </c>
      <c r="S270" s="177">
        <v>10286.4</v>
      </c>
      <c r="T270" s="177">
        <v>2527.0666666666666</v>
      </c>
      <c r="U270" s="177">
        <v>8197.933333333332</v>
      </c>
      <c r="V270" s="177">
        <v>8981.633333333333</v>
      </c>
      <c r="W270" s="189" t="s">
        <v>37</v>
      </c>
      <c r="X270" s="177">
        <v>50999.26666666667</v>
      </c>
      <c r="Y270" s="177">
        <v>37301.066666666666</v>
      </c>
      <c r="Z270" s="177">
        <v>5966.6</v>
      </c>
      <c r="AA270" s="177">
        <v>306.6333333333333</v>
      </c>
      <c r="AB270" s="177">
        <v>123.06666666666666</v>
      </c>
      <c r="AC270" s="177">
        <v>1756.03333333333</v>
      </c>
      <c r="AD270" s="178">
        <v>1779.8333333333333</v>
      </c>
      <c r="AE270" s="178">
        <v>3929.133333333333</v>
      </c>
      <c r="AF270" s="177"/>
      <c r="AG270" s="177"/>
      <c r="AH270" s="177"/>
      <c r="AI270" s="148">
        <f t="shared" si="35"/>
        <v>154074.7666666667</v>
      </c>
      <c r="AJ270" s="252">
        <f t="shared" si="33"/>
        <v>149405</v>
      </c>
      <c r="AK270" s="138">
        <f>+AI270-AI269</f>
        <v>747.3150537635374</v>
      </c>
    </row>
    <row r="271" spans="3:37" ht="12.75">
      <c r="C271" s="182">
        <f>+C270+0.0833333</f>
        <v>2015.999991200013</v>
      </c>
      <c r="D271" s="171">
        <v>42339</v>
      </c>
      <c r="E271" s="177">
        <v>1201.6774193548388</v>
      </c>
      <c r="F271" s="177">
        <v>348.83870967741933</v>
      </c>
      <c r="G271" s="177">
        <v>1042.0645161290322</v>
      </c>
      <c r="H271" s="177">
        <v>648.516129032258</v>
      </c>
      <c r="I271" s="177">
        <v>133.74193548387098</v>
      </c>
      <c r="J271" s="288">
        <v>3288.8709677419356</v>
      </c>
      <c r="K271" s="289"/>
      <c r="L271" s="177">
        <v>165.7741935483871</v>
      </c>
      <c r="M271" s="177">
        <v>11144.483870967742</v>
      </c>
      <c r="N271" s="177"/>
      <c r="O271" s="177">
        <v>3904.8709677419356</v>
      </c>
      <c r="P271" s="177"/>
      <c r="Q271" s="177">
        <v>58.38709677419355</v>
      </c>
      <c r="R271" s="177">
        <v>18.258064516129032</v>
      </c>
      <c r="S271" s="177">
        <f>8918.58064516129+1190.677419</f>
        <v>10109.25806416129</v>
      </c>
      <c r="T271" s="177">
        <v>4617.193548387097</v>
      </c>
      <c r="U271" s="177">
        <v>7547.387096774193</v>
      </c>
      <c r="V271" s="177">
        <v>10184.41935483871</v>
      </c>
      <c r="W271" s="189" t="s">
        <v>37</v>
      </c>
      <c r="X271" s="177">
        <v>54585.12903225807</v>
      </c>
      <c r="Y271" s="177">
        <v>39603.032258064515</v>
      </c>
      <c r="Z271" s="177">
        <v>4693.129032258064</v>
      </c>
      <c r="AA271" s="177">
        <v>136.19354838709677</v>
      </c>
      <c r="AB271" s="177">
        <v>33.12903225806452</v>
      </c>
      <c r="AC271" s="177">
        <v>1890.774193548387</v>
      </c>
      <c r="AD271" s="177">
        <v>1944.7096774193549</v>
      </c>
      <c r="AE271" s="177">
        <v>3781.6774193548385</v>
      </c>
      <c r="AF271" s="177"/>
      <c r="AG271" s="177"/>
      <c r="AH271" s="177"/>
      <c r="AI271" s="148">
        <f t="shared" si="35"/>
        <v>161081.51612867744</v>
      </c>
      <c r="AJ271" s="252">
        <f t="shared" si="33"/>
        <v>149405</v>
      </c>
      <c r="AK271" s="138">
        <f>+AI271-AI270</f>
        <v>7006.749462010746</v>
      </c>
    </row>
    <row r="272" spans="3:37" s="201" customFormat="1" ht="12.75">
      <c r="C272" s="195">
        <f aca="true" t="shared" si="36" ref="C272:C300">+C271+0.0833333</f>
        <v>2016.083324500013</v>
      </c>
      <c r="D272" s="196">
        <v>42370</v>
      </c>
      <c r="E272" s="197">
        <v>1119.225806451613</v>
      </c>
      <c r="F272" s="197">
        <v>353.2903225806452</v>
      </c>
      <c r="G272" s="197">
        <v>1007.7741935483871</v>
      </c>
      <c r="H272" s="197">
        <v>663.6451612903226</v>
      </c>
      <c r="I272" s="197">
        <v>127.87096774193549</v>
      </c>
      <c r="J272" s="292">
        <v>3243.32258064516</v>
      </c>
      <c r="K272" s="293"/>
      <c r="L272" s="197">
        <v>164.3548387096774</v>
      </c>
      <c r="M272" s="197">
        <v>11046.41935483871</v>
      </c>
      <c r="N272" s="197"/>
      <c r="O272" s="197">
        <v>4035.4193548387098</v>
      </c>
      <c r="P272" s="197"/>
      <c r="Q272" s="197">
        <v>53.903225806451616</v>
      </c>
      <c r="R272" s="197">
        <v>17.64516129032258</v>
      </c>
      <c r="S272" s="197">
        <v>9665</v>
      </c>
      <c r="T272" s="197">
        <v>2502</v>
      </c>
      <c r="U272" s="197">
        <v>6800</v>
      </c>
      <c r="V272" s="197">
        <v>9431.677419354839</v>
      </c>
      <c r="W272" s="198" t="s">
        <v>37</v>
      </c>
      <c r="X272" s="197">
        <v>30728.935483870966</v>
      </c>
      <c r="Y272" s="197">
        <v>21960.90322580645</v>
      </c>
      <c r="Z272" s="197">
        <v>3946.2903225806454</v>
      </c>
      <c r="AA272" s="197">
        <v>356.83870967741933</v>
      </c>
      <c r="AB272" s="197">
        <v>74.48387096774194</v>
      </c>
      <c r="AC272" s="197">
        <v>1865.967741935484</v>
      </c>
      <c r="AD272" s="197">
        <v>337.96774193548384</v>
      </c>
      <c r="AE272" s="197">
        <v>1483.4516129032259</v>
      </c>
      <c r="AF272" s="197"/>
      <c r="AG272" s="197"/>
      <c r="AH272" s="197"/>
      <c r="AI272" s="199">
        <f>SUM(E272:AH272)</f>
        <v>110986.38709677421</v>
      </c>
      <c r="AJ272" s="206">
        <v>135096</v>
      </c>
      <c r="AK272" s="200">
        <f>+AI272-AI271</f>
        <v>-50095.12903190323</v>
      </c>
    </row>
    <row r="273" spans="3:37" s="201" customFormat="1" ht="12.75">
      <c r="C273" s="195">
        <f t="shared" si="36"/>
        <v>2016.1666578000131</v>
      </c>
      <c r="D273" s="196">
        <v>42401</v>
      </c>
      <c r="E273" s="197">
        <v>1102.9310344827586</v>
      </c>
      <c r="F273" s="197">
        <v>322.7931034482759</v>
      </c>
      <c r="G273" s="197">
        <v>1008.9310344827586</v>
      </c>
      <c r="H273" s="197">
        <v>620.2068965517242</v>
      </c>
      <c r="I273" s="197">
        <v>133.3448275862069</v>
      </c>
      <c r="J273" s="292">
        <v>3242.896551724138</v>
      </c>
      <c r="K273" s="293">
        <v>0</v>
      </c>
      <c r="L273" s="197">
        <v>183.44827586206895</v>
      </c>
      <c r="M273" s="197">
        <v>10945.931034482759</v>
      </c>
      <c r="N273" s="197"/>
      <c r="O273" s="197">
        <v>3794.793103448276</v>
      </c>
      <c r="P273" s="197"/>
      <c r="Q273" s="197">
        <v>51.206896551724135</v>
      </c>
      <c r="R273" s="197">
        <v>16.137931034482758</v>
      </c>
      <c r="S273" s="197">
        <v>9842.931034482759</v>
      </c>
      <c r="T273" s="197">
        <v>3873.896551724138</v>
      </c>
      <c r="U273" s="197">
        <v>7572.896551724138</v>
      </c>
      <c r="V273" s="197">
        <v>4223.896551724138</v>
      </c>
      <c r="W273" s="198"/>
      <c r="X273" s="197">
        <v>55195.96551724138</v>
      </c>
      <c r="Y273" s="197">
        <v>24998.137931034482</v>
      </c>
      <c r="Z273" s="197">
        <v>2003.7586206896551</v>
      </c>
      <c r="AA273" s="197">
        <v>194</v>
      </c>
      <c r="AB273" s="197">
        <v>72.48275862068965</v>
      </c>
      <c r="AC273" s="197">
        <v>1502</v>
      </c>
      <c r="AD273" s="197">
        <v>565.4137931034483</v>
      </c>
      <c r="AE273" s="197">
        <v>66.58620689655173</v>
      </c>
      <c r="AF273" s="202"/>
      <c r="AG273" s="202"/>
      <c r="AH273" s="202"/>
      <c r="AI273" s="199">
        <f t="shared" si="35"/>
        <v>131534.58620689652</v>
      </c>
      <c r="AJ273" s="206">
        <f>+AJ272</f>
        <v>135096</v>
      </c>
      <c r="AK273" s="200">
        <f aca="true" t="shared" si="37" ref="AK273:AK287">+AI273-AI272</f>
        <v>20548.19911012231</v>
      </c>
    </row>
    <row r="274" spans="3:37" s="205" customFormat="1" ht="12.75">
      <c r="C274" s="195">
        <f t="shared" si="36"/>
        <v>2016.2499911000132</v>
      </c>
      <c r="D274" s="196">
        <v>42430</v>
      </c>
      <c r="E274" s="197">
        <v>1056.3225806451612</v>
      </c>
      <c r="F274" s="197">
        <v>295.93548387096774</v>
      </c>
      <c r="G274" s="197">
        <v>768.258064516129</v>
      </c>
      <c r="H274" s="197">
        <v>598.3225806451613</v>
      </c>
      <c r="I274" s="197">
        <v>118.51612903225806</v>
      </c>
      <c r="J274" s="292">
        <v>2940.90322580645</v>
      </c>
      <c r="K274" s="293"/>
      <c r="L274" s="197">
        <v>213.09677419354838</v>
      </c>
      <c r="M274" s="197">
        <v>10465.741935483871</v>
      </c>
      <c r="N274" s="197"/>
      <c r="O274" s="197">
        <v>4093.032258064516</v>
      </c>
      <c r="P274" s="197"/>
      <c r="Q274" s="197">
        <v>52.96774193548387</v>
      </c>
      <c r="R274" s="197">
        <v>14.064516129032258</v>
      </c>
      <c r="S274" s="197">
        <v>9719.58064516129</v>
      </c>
      <c r="T274" s="197">
        <v>2992.3870967741937</v>
      </c>
      <c r="U274" s="197">
        <v>6006.612903225807</v>
      </c>
      <c r="V274" s="197">
        <v>0</v>
      </c>
      <c r="W274" s="198"/>
      <c r="X274" s="197">
        <v>48012.12903225807</v>
      </c>
      <c r="Y274" s="197">
        <v>39933</v>
      </c>
      <c r="Z274" s="197">
        <v>6135.677419354839</v>
      </c>
      <c r="AA274" s="197">
        <v>182.25806451612902</v>
      </c>
      <c r="AB274" s="197">
        <v>56.67741935483871</v>
      </c>
      <c r="AC274" s="197">
        <v>1820.6774193548388</v>
      </c>
      <c r="AD274" s="197">
        <v>963.7096774193549</v>
      </c>
      <c r="AE274" s="197">
        <v>0</v>
      </c>
      <c r="AF274" s="204"/>
      <c r="AG274" s="204"/>
      <c r="AH274" s="204"/>
      <c r="AI274" s="199">
        <f t="shared" si="35"/>
        <v>136439.87096774197</v>
      </c>
      <c r="AJ274" s="206">
        <f>+AJ273</f>
        <v>135096</v>
      </c>
      <c r="AK274" s="200">
        <f t="shared" si="37"/>
        <v>4905.284760845447</v>
      </c>
    </row>
    <row r="275" spans="3:39" s="205" customFormat="1" ht="12.75">
      <c r="C275" s="195">
        <f t="shared" si="36"/>
        <v>2016.3333244000132</v>
      </c>
      <c r="D275" s="196">
        <v>42461</v>
      </c>
      <c r="E275" s="197">
        <v>1028.7</v>
      </c>
      <c r="F275" s="197">
        <v>314.56666666666666</v>
      </c>
      <c r="G275" s="197">
        <v>1008.3666666666667</v>
      </c>
      <c r="H275" s="197">
        <v>596.3</v>
      </c>
      <c r="I275" s="197">
        <v>123.7</v>
      </c>
      <c r="J275" s="292">
        <v>3179.33333333333</v>
      </c>
      <c r="K275" s="293"/>
      <c r="L275" s="197">
        <v>220.76666666666668</v>
      </c>
      <c r="M275" s="197">
        <v>10810.3</v>
      </c>
      <c r="N275" s="197"/>
      <c r="O275" s="197">
        <v>3951.9666666666667</v>
      </c>
      <c r="P275" s="197"/>
      <c r="Q275" s="197">
        <v>50.4</v>
      </c>
      <c r="R275" s="197">
        <v>13.6</v>
      </c>
      <c r="S275" s="197">
        <v>9401.166666666666</v>
      </c>
      <c r="T275" s="197">
        <v>3353.4</v>
      </c>
      <c r="U275" s="197">
        <v>5271.2</v>
      </c>
      <c r="V275" s="197">
        <v>0</v>
      </c>
      <c r="W275" s="198"/>
      <c r="X275" s="197">
        <v>54283.03333333333</v>
      </c>
      <c r="Y275" s="197">
        <v>36841.23333333333</v>
      </c>
      <c r="Z275" s="197">
        <v>7608.3</v>
      </c>
      <c r="AA275" s="197">
        <v>113.13333333333334</v>
      </c>
      <c r="AB275" s="197">
        <v>0</v>
      </c>
      <c r="AC275" s="197">
        <v>1819.3</v>
      </c>
      <c r="AD275" s="197">
        <v>491.8</v>
      </c>
      <c r="AE275" s="197">
        <v>1705.2666666666667</v>
      </c>
      <c r="AF275" s="204"/>
      <c r="AG275" s="204"/>
      <c r="AH275" s="204"/>
      <c r="AI275" s="199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0">
        <f t="shared" si="37"/>
        <v>5745.9623655913165</v>
      </c>
      <c r="AM275" s="206"/>
    </row>
    <row r="276" spans="3:37" s="205" customFormat="1" ht="12.75">
      <c r="C276" s="195">
        <f t="shared" si="36"/>
        <v>2016.4166577000133</v>
      </c>
      <c r="D276" s="196">
        <v>42491</v>
      </c>
      <c r="E276" s="197">
        <v>1043.8387096774193</v>
      </c>
      <c r="F276" s="197">
        <v>339.7741935483871</v>
      </c>
      <c r="G276" s="197">
        <v>975.258064516129</v>
      </c>
      <c r="H276" s="197">
        <v>601.0322580645161</v>
      </c>
      <c r="I276" s="197">
        <v>128.74193548387098</v>
      </c>
      <c r="J276" s="292">
        <v>3165.16129032258</v>
      </c>
      <c r="K276" s="293"/>
      <c r="L276" s="197">
        <v>184.90322580645162</v>
      </c>
      <c r="M276" s="197">
        <v>10743.064516129032</v>
      </c>
      <c r="N276" s="197"/>
      <c r="O276" s="197">
        <v>3888.9032258064517</v>
      </c>
      <c r="P276" s="197"/>
      <c r="Q276" s="197">
        <v>50.70967741935484</v>
      </c>
      <c r="R276" s="197">
        <v>15.741935483870968</v>
      </c>
      <c r="S276" s="197">
        <v>9326.935483870968</v>
      </c>
      <c r="T276" s="197">
        <v>2876.516129032258</v>
      </c>
      <c r="U276" s="197">
        <v>6048.774193548387</v>
      </c>
      <c r="V276" s="197">
        <v>0</v>
      </c>
      <c r="W276" s="198"/>
      <c r="X276" s="197">
        <v>55623.25806451613</v>
      </c>
      <c r="Y276" s="197">
        <v>33996.48387096774</v>
      </c>
      <c r="Z276" s="197">
        <v>11789.129032258064</v>
      </c>
      <c r="AA276" s="197">
        <v>13.548387096774194</v>
      </c>
      <c r="AB276" s="197">
        <v>41.70967741935484</v>
      </c>
      <c r="AC276" s="197">
        <v>1061</v>
      </c>
      <c r="AD276" s="197">
        <v>1937.9354838709678</v>
      </c>
      <c r="AE276" s="197">
        <v>2608.9032258064517</v>
      </c>
      <c r="AF276" s="204"/>
      <c r="AG276" s="204"/>
      <c r="AH276" s="204"/>
      <c r="AI276" s="199">
        <f t="shared" si="38"/>
        <v>146461.32258064518</v>
      </c>
      <c r="AJ276" s="206">
        <f t="shared" si="39"/>
        <v>135096</v>
      </c>
      <c r="AK276" s="200">
        <f t="shared" si="37"/>
        <v>4275.489247311896</v>
      </c>
    </row>
    <row r="277" spans="3:37" s="211" customFormat="1" ht="12.75">
      <c r="C277" s="195">
        <f t="shared" si="36"/>
        <v>2016.4999910000133</v>
      </c>
      <c r="D277" s="207">
        <v>42522</v>
      </c>
      <c r="E277" s="208">
        <v>1008.8333333333334</v>
      </c>
      <c r="F277" s="208">
        <v>328.9</v>
      </c>
      <c r="G277" s="208">
        <v>1006.2333333333333</v>
      </c>
      <c r="H277" s="208">
        <v>607.3</v>
      </c>
      <c r="I277" s="208">
        <v>128.36666666666667</v>
      </c>
      <c r="J277" s="292">
        <v>3254.866666666667</v>
      </c>
      <c r="K277" s="293"/>
      <c r="L277" s="208">
        <v>192.66666666666666</v>
      </c>
      <c r="M277" s="208">
        <v>10732.333333333334</v>
      </c>
      <c r="N277" s="208"/>
      <c r="O277" s="208">
        <v>3616.4</v>
      </c>
      <c r="P277" s="208"/>
      <c r="Q277" s="208">
        <v>48.266666666666666</v>
      </c>
      <c r="R277" s="208">
        <v>17.433333333333334</v>
      </c>
      <c r="S277" s="208">
        <v>9383.566666666668</v>
      </c>
      <c r="T277" s="208">
        <v>0</v>
      </c>
      <c r="U277" s="208">
        <v>4673.333333333333</v>
      </c>
      <c r="V277" s="208">
        <v>0</v>
      </c>
      <c r="W277" s="208"/>
      <c r="X277" s="208">
        <v>52875.166666666664</v>
      </c>
      <c r="Y277" s="208">
        <v>30062.7</v>
      </c>
      <c r="Z277" s="208">
        <v>9357.333333333334</v>
      </c>
      <c r="AA277" s="208">
        <v>59.3</v>
      </c>
      <c r="AB277" s="208">
        <v>0</v>
      </c>
      <c r="AC277" s="208">
        <v>1055.5666666666666</v>
      </c>
      <c r="AD277" s="208">
        <v>0</v>
      </c>
      <c r="AE277" s="208">
        <v>2864.3333333333335</v>
      </c>
      <c r="AF277" s="209"/>
      <c r="AG277" s="209"/>
      <c r="AH277" s="209"/>
      <c r="AI277" s="210">
        <f t="shared" si="38"/>
        <v>131272.9</v>
      </c>
      <c r="AJ277" s="206">
        <f t="shared" si="39"/>
        <v>135096</v>
      </c>
      <c r="AK277" s="203">
        <f>+AI277-AI276</f>
        <v>-15188.422580645187</v>
      </c>
    </row>
    <row r="278" spans="3:37" s="211" customFormat="1" ht="12.75">
      <c r="C278" s="195">
        <f t="shared" si="36"/>
        <v>2016.5833243000134</v>
      </c>
      <c r="D278" s="207">
        <v>42552</v>
      </c>
      <c r="E278" s="208">
        <v>1008.1935483870968</v>
      </c>
      <c r="F278" s="208">
        <v>308.35483870967744</v>
      </c>
      <c r="G278" s="208">
        <v>967.7741935483871</v>
      </c>
      <c r="H278" s="208">
        <v>637.6451612903226</v>
      </c>
      <c r="I278" s="208">
        <v>134.16129032258064</v>
      </c>
      <c r="J278" s="292">
        <v>3235.8387096774195</v>
      </c>
      <c r="K278" s="293"/>
      <c r="L278" s="208">
        <v>179.93548387096774</v>
      </c>
      <c r="M278" s="208">
        <v>10581.193548387097</v>
      </c>
      <c r="N278" s="208"/>
      <c r="O278" s="208">
        <v>3546.548387096774</v>
      </c>
      <c r="P278" s="208"/>
      <c r="Q278" s="208">
        <v>46.03225806451613</v>
      </c>
      <c r="R278" s="208">
        <v>15.870967741935484</v>
      </c>
      <c r="S278" s="208">
        <v>9072.290322580646</v>
      </c>
      <c r="T278" s="208">
        <v>4514.8387096774195</v>
      </c>
      <c r="U278" s="208">
        <v>6118.709677419355</v>
      </c>
      <c r="V278" s="208">
        <v>0</v>
      </c>
      <c r="W278" s="208"/>
      <c r="X278" s="208">
        <v>53051.45161290323</v>
      </c>
      <c r="Y278" s="208">
        <v>34124.354838709674</v>
      </c>
      <c r="Z278" s="208">
        <v>11687.709677419354</v>
      </c>
      <c r="AA278" s="208">
        <v>62.41935483870968</v>
      </c>
      <c r="AB278" s="208">
        <v>50.45161290322581</v>
      </c>
      <c r="AC278" s="208">
        <v>729.0645161290323</v>
      </c>
      <c r="AD278" s="208">
        <v>0</v>
      </c>
      <c r="AE278" s="208">
        <v>2983.2903225806454</v>
      </c>
      <c r="AF278" s="209"/>
      <c r="AG278" s="209"/>
      <c r="AH278" s="209"/>
      <c r="AI278" s="210">
        <f t="shared" si="38"/>
        <v>143056.12903225803</v>
      </c>
      <c r="AJ278" s="206">
        <f t="shared" si="39"/>
        <v>135096</v>
      </c>
      <c r="AK278" s="203">
        <f>+AI278-AI277</f>
        <v>11783.229032258037</v>
      </c>
    </row>
    <row r="279" spans="3:37" s="211" customFormat="1" ht="12.75">
      <c r="C279" s="195">
        <f t="shared" si="36"/>
        <v>2016.6666576000134</v>
      </c>
      <c r="D279" s="207">
        <v>42583</v>
      </c>
      <c r="E279" s="208">
        <v>1096.1935483870968</v>
      </c>
      <c r="F279" s="208">
        <v>303.38709677419354</v>
      </c>
      <c r="G279" s="208">
        <v>935.741935483871</v>
      </c>
      <c r="H279" s="208">
        <v>615.8387096774194</v>
      </c>
      <c r="I279" s="208">
        <v>126.19354838709677</v>
      </c>
      <c r="J279" s="212">
        <v>3181.3225806451615</v>
      </c>
      <c r="K279" s="213"/>
      <c r="L279" s="208">
        <v>183.41935483870967</v>
      </c>
      <c r="M279" s="208">
        <v>10651.322580645161</v>
      </c>
      <c r="N279" s="208"/>
      <c r="O279" s="208">
        <v>3682.5806451612902</v>
      </c>
      <c r="P279" s="208"/>
      <c r="Q279" s="208">
        <v>47.193548387096776</v>
      </c>
      <c r="R279" s="208">
        <v>14.451612903225806</v>
      </c>
      <c r="S279" s="208">
        <v>9502.225806451614</v>
      </c>
      <c r="T279" s="208">
        <v>2827.548387096774</v>
      </c>
      <c r="U279" s="208">
        <v>6092.4838709677415</v>
      </c>
      <c r="V279" s="208">
        <v>0</v>
      </c>
      <c r="W279" s="214"/>
      <c r="X279" s="208">
        <v>53724.77419354839</v>
      </c>
      <c r="Y279" s="208">
        <v>34606.032258064515</v>
      </c>
      <c r="Z279" s="208">
        <v>11677.032258064517</v>
      </c>
      <c r="AA279" s="208">
        <v>52.96774193548387</v>
      </c>
      <c r="AB279" s="208">
        <v>51.58064516129032</v>
      </c>
      <c r="AC279" s="208">
        <v>1006.258064516129</v>
      </c>
      <c r="AD279" s="208">
        <v>0</v>
      </c>
      <c r="AE279" s="208">
        <v>3087.6129032258063</v>
      </c>
      <c r="AF279" s="209"/>
      <c r="AG279" s="209"/>
      <c r="AH279" s="209"/>
      <c r="AI279" s="210">
        <f t="shared" si="38"/>
        <v>143466.1612903226</v>
      </c>
      <c r="AJ279" s="206">
        <f t="shared" si="39"/>
        <v>135096</v>
      </c>
      <c r="AK279" s="203">
        <f t="shared" si="37"/>
        <v>410.0322580645734</v>
      </c>
    </row>
    <row r="280" spans="3:37" s="211" customFormat="1" ht="12.75">
      <c r="C280" s="195">
        <f t="shared" si="36"/>
        <v>2016.7499909000135</v>
      </c>
      <c r="D280" s="207">
        <v>42614</v>
      </c>
      <c r="E280" s="208">
        <v>1072.4</v>
      </c>
      <c r="F280" s="208">
        <v>273.7</v>
      </c>
      <c r="G280" s="208">
        <v>943.3666666666667</v>
      </c>
      <c r="H280" s="208">
        <v>601.6333333333333</v>
      </c>
      <c r="I280" s="208">
        <v>124.46666666666667</v>
      </c>
      <c r="J280" s="221">
        <v>3168.6</v>
      </c>
      <c r="K280" s="222"/>
      <c r="L280" s="208">
        <v>185</v>
      </c>
      <c r="M280" s="208">
        <v>10746.466666666667</v>
      </c>
      <c r="N280" s="208"/>
      <c r="O280" s="208">
        <v>3482.3</v>
      </c>
      <c r="P280" s="208"/>
      <c r="Q280" s="208">
        <v>45.36666666666667</v>
      </c>
      <c r="R280" s="208">
        <v>14.033333333333333</v>
      </c>
      <c r="S280" s="208">
        <v>9208.466666666667</v>
      </c>
      <c r="T280" s="208">
        <v>2902.3333333333335</v>
      </c>
      <c r="U280" s="208">
        <v>0</v>
      </c>
      <c r="V280" s="208">
        <v>0</v>
      </c>
      <c r="W280" s="214"/>
      <c r="X280" s="208">
        <v>45180.13333333333</v>
      </c>
      <c r="Y280" s="208">
        <v>36006.26666666667</v>
      </c>
      <c r="Z280" s="208">
        <v>10151.233333333334</v>
      </c>
      <c r="AA280" s="208">
        <v>52.666666666666664</v>
      </c>
      <c r="AB280" s="208">
        <v>47.766666666666666</v>
      </c>
      <c r="AC280" s="208">
        <v>1307.2</v>
      </c>
      <c r="AD280" s="208">
        <v>0</v>
      </c>
      <c r="AE280" s="208">
        <v>2983.866666666667</v>
      </c>
      <c r="AF280" s="209"/>
      <c r="AG280" s="209"/>
      <c r="AH280" s="209"/>
      <c r="AI280" s="210">
        <f t="shared" si="38"/>
        <v>128497.26666666666</v>
      </c>
      <c r="AJ280" s="206">
        <f t="shared" si="39"/>
        <v>135096</v>
      </c>
      <c r="AK280" s="203">
        <f t="shared" si="37"/>
        <v>-14968.894623655942</v>
      </c>
    </row>
    <row r="281" spans="3:37" s="205" customFormat="1" ht="12.75">
      <c r="C281" s="195">
        <f t="shared" si="36"/>
        <v>2016.8333242000135</v>
      </c>
      <c r="D281" s="196">
        <v>42644</v>
      </c>
      <c r="E281" s="197">
        <v>1023.0967741935484</v>
      </c>
      <c r="F281" s="197">
        <v>318.3225806451613</v>
      </c>
      <c r="G281" s="197">
        <v>936.8064516129032</v>
      </c>
      <c r="H281" s="197">
        <v>609.483870967742</v>
      </c>
      <c r="I281" s="197">
        <v>135</v>
      </c>
      <c r="J281" s="215">
        <v>3232.1290322580644</v>
      </c>
      <c r="K281" s="216"/>
      <c r="L281" s="197">
        <v>193.4516129032258</v>
      </c>
      <c r="M281" s="197">
        <v>10927.838709677419</v>
      </c>
      <c r="N281" s="197"/>
      <c r="O281" s="197">
        <v>3186.8064516129034</v>
      </c>
      <c r="P281" s="197"/>
      <c r="Q281" s="197">
        <v>43.935483870967744</v>
      </c>
      <c r="R281" s="197">
        <v>13.419354838709678</v>
      </c>
      <c r="S281" s="197">
        <v>9853.354838709678</v>
      </c>
      <c r="T281" s="197">
        <v>2743.7419354838707</v>
      </c>
      <c r="U281" s="197">
        <v>0</v>
      </c>
      <c r="V281" s="197">
        <v>0</v>
      </c>
      <c r="W281" s="198"/>
      <c r="X281" s="197">
        <v>49353.12903225807</v>
      </c>
      <c r="Y281" s="197">
        <v>34508.032258064515</v>
      </c>
      <c r="Z281" s="197">
        <v>10156.774193548386</v>
      </c>
      <c r="AA281" s="197">
        <v>79.09677419354838</v>
      </c>
      <c r="AB281" s="197">
        <v>40.58064516129032</v>
      </c>
      <c r="AC281" s="197">
        <v>1498.774193548387</v>
      </c>
      <c r="AD281" s="197">
        <v>0</v>
      </c>
      <c r="AE281" s="197">
        <v>3024.8387096774195</v>
      </c>
      <c r="AF281" s="204"/>
      <c r="AG281" s="204"/>
      <c r="AH281" s="204"/>
      <c r="AI281" s="210">
        <f t="shared" si="38"/>
        <v>131878.6129032258</v>
      </c>
      <c r="AJ281" s="206">
        <f t="shared" si="39"/>
        <v>135096</v>
      </c>
      <c r="AK281" s="203">
        <f>+AI281-AI280</f>
        <v>3381.346236559126</v>
      </c>
    </row>
    <row r="282" spans="3:37" s="205" customFormat="1" ht="12.75">
      <c r="C282" s="195">
        <f t="shared" si="36"/>
        <v>2016.9166575000136</v>
      </c>
      <c r="D282" s="196">
        <v>42675</v>
      </c>
      <c r="E282" s="197">
        <v>988.9</v>
      </c>
      <c r="F282" s="197">
        <v>326.03333333333336</v>
      </c>
      <c r="G282" s="197">
        <v>937.8</v>
      </c>
      <c r="H282" s="197">
        <v>627.8</v>
      </c>
      <c r="I282" s="197">
        <v>133.96666666666667</v>
      </c>
      <c r="J282" s="215">
        <v>3265.8</v>
      </c>
      <c r="K282" s="216"/>
      <c r="L282" s="197">
        <v>187.06666666666666</v>
      </c>
      <c r="M282" s="197">
        <v>11001.1</v>
      </c>
      <c r="N282" s="197"/>
      <c r="O282" s="197">
        <v>3104.266666666667</v>
      </c>
      <c r="P282" s="197"/>
      <c r="Q282" s="197">
        <v>45.666666666666664</v>
      </c>
      <c r="R282" s="197">
        <v>12.166666666666666</v>
      </c>
      <c r="S282" s="197">
        <v>9940.933333333332</v>
      </c>
      <c r="T282" s="197">
        <v>2642.866666666667</v>
      </c>
      <c r="U282" s="197">
        <v>0</v>
      </c>
      <c r="V282" s="197">
        <v>0</v>
      </c>
      <c r="W282" s="198"/>
      <c r="X282" s="197">
        <v>52816.86666666667</v>
      </c>
      <c r="Y282" s="197">
        <v>36082.86666666667</v>
      </c>
      <c r="Z282" s="197">
        <v>10601.8</v>
      </c>
      <c r="AA282" s="197">
        <v>63.96666666666667</v>
      </c>
      <c r="AB282" s="197">
        <v>43.13333333333333</v>
      </c>
      <c r="AC282" s="197">
        <v>996.8</v>
      </c>
      <c r="AD282" s="197">
        <v>0</v>
      </c>
      <c r="AE282" s="197">
        <v>3060.9</v>
      </c>
      <c r="AF282" s="204"/>
      <c r="AG282" s="204"/>
      <c r="AH282" s="204"/>
      <c r="AI282" s="210">
        <f t="shared" si="38"/>
        <v>136880.69999999998</v>
      </c>
      <c r="AJ282" s="206">
        <f t="shared" si="39"/>
        <v>135096</v>
      </c>
      <c r="AK282" s="200">
        <f t="shared" si="37"/>
        <v>5002.087096774194</v>
      </c>
    </row>
    <row r="283" spans="3:37" s="201" customFormat="1" ht="12.75">
      <c r="C283" s="195">
        <f t="shared" si="36"/>
        <v>2016.9999908000136</v>
      </c>
      <c r="D283" s="196">
        <v>42705</v>
      </c>
      <c r="E283" s="197">
        <v>954.1935483870968</v>
      </c>
      <c r="F283" s="197">
        <v>320.64516129032256</v>
      </c>
      <c r="G283" s="197">
        <v>910.4193548387096</v>
      </c>
      <c r="H283" s="197">
        <v>845.6129032258065</v>
      </c>
      <c r="I283" s="197">
        <v>124.7741935483871</v>
      </c>
      <c r="J283" s="215">
        <v>3332.7419354838707</v>
      </c>
      <c r="K283" s="216"/>
      <c r="L283" s="197">
        <v>184.67741935483872</v>
      </c>
      <c r="M283" s="197">
        <v>10603.967741935483</v>
      </c>
      <c r="N283" s="197"/>
      <c r="O283" s="197">
        <v>3503.3548387096776</v>
      </c>
      <c r="P283" s="197"/>
      <c r="Q283" s="197">
        <v>41.54838709677419</v>
      </c>
      <c r="R283" s="197">
        <v>13.161290322580646</v>
      </c>
      <c r="S283" s="197">
        <v>9530.322580645161</v>
      </c>
      <c r="T283" s="197">
        <v>2205.1290322580644</v>
      </c>
      <c r="U283" s="197">
        <v>3879.064516129032</v>
      </c>
      <c r="V283" s="197">
        <v>0</v>
      </c>
      <c r="W283" s="198"/>
      <c r="X283" s="197">
        <v>51973.645161290326</v>
      </c>
      <c r="Y283" s="197">
        <v>36020</v>
      </c>
      <c r="Z283" s="197">
        <v>9918.806451612903</v>
      </c>
      <c r="AA283" s="197">
        <v>32.774193548387096</v>
      </c>
      <c r="AB283" s="197">
        <v>41.645161290322584</v>
      </c>
      <c r="AC283" s="197">
        <v>818.3870967741935</v>
      </c>
      <c r="AD283" s="197">
        <v>0</v>
      </c>
      <c r="AE283" s="197">
        <v>2952.9032258064517</v>
      </c>
      <c r="AF283" s="202"/>
      <c r="AG283" s="202"/>
      <c r="AH283" s="202"/>
      <c r="AI283" s="210">
        <f t="shared" si="38"/>
        <v>138207.7741935484</v>
      </c>
      <c r="AJ283" s="206">
        <f t="shared" si="39"/>
        <v>135096</v>
      </c>
      <c r="AK283" s="200">
        <f t="shared" si="37"/>
        <v>1327.0741935484111</v>
      </c>
    </row>
    <row r="284" spans="3:38" s="225" customFormat="1" ht="12.75">
      <c r="C284" s="223">
        <f t="shared" si="36"/>
        <v>2017.0833241000137</v>
      </c>
      <c r="D284" s="224">
        <v>42736</v>
      </c>
      <c r="E284" s="247">
        <v>921.3548387096774</v>
      </c>
      <c r="F284" s="247">
        <v>308.16129032258067</v>
      </c>
      <c r="G284" s="247">
        <v>922.4193548387096</v>
      </c>
      <c r="H284" s="247">
        <v>1435.774193548387</v>
      </c>
      <c r="I284" s="247">
        <v>120.38709677419355</v>
      </c>
      <c r="J284" s="247">
        <v>3369.3870967741937</v>
      </c>
      <c r="K284" s="247"/>
      <c r="L284" s="247">
        <v>179.38709677419354</v>
      </c>
      <c r="M284" s="247">
        <v>11187.451612903225</v>
      </c>
      <c r="N284" s="247"/>
      <c r="O284" s="247">
        <v>3535.7096774193546</v>
      </c>
      <c r="P284" s="247"/>
      <c r="Q284" s="247">
        <v>38.32258064516129</v>
      </c>
      <c r="R284" s="247">
        <v>11.96774193548387</v>
      </c>
      <c r="S284" s="247">
        <v>9185</v>
      </c>
      <c r="T284" s="247">
        <v>378.64516129032256</v>
      </c>
      <c r="U284" s="247">
        <v>5753.225806451613</v>
      </c>
      <c r="V284" s="247">
        <v>0</v>
      </c>
      <c r="W284" s="247"/>
      <c r="X284" s="247">
        <v>49614</v>
      </c>
      <c r="Y284" s="247">
        <v>32194.516129032258</v>
      </c>
      <c r="Z284" s="247">
        <v>10721.677419354839</v>
      </c>
      <c r="AA284" s="247">
        <v>65.51612903225806</v>
      </c>
      <c r="AB284" s="247">
        <v>0</v>
      </c>
      <c r="AC284" s="247">
        <v>1265.225806451613</v>
      </c>
      <c r="AD284" s="247">
        <v>0</v>
      </c>
      <c r="AE284" s="247">
        <v>2836.7741935483873</v>
      </c>
      <c r="AF284" s="247">
        <v>0</v>
      </c>
      <c r="AG284" s="247">
        <v>0</v>
      </c>
      <c r="AH284" s="247">
        <v>0</v>
      </c>
      <c r="AI284" s="228">
        <f t="shared" si="38"/>
        <v>134044.90322580645</v>
      </c>
      <c r="AJ284" s="256">
        <v>134341</v>
      </c>
      <c r="AK284" s="226">
        <f>+AI284-AI283</f>
        <v>-4162.870967741939</v>
      </c>
      <c r="AL284" s="227"/>
    </row>
    <row r="285" spans="3:37" s="142" customFormat="1" ht="12.75">
      <c r="C285" s="223">
        <f t="shared" si="36"/>
        <v>2017.1666574000137</v>
      </c>
      <c r="D285" s="224">
        <v>42767</v>
      </c>
      <c r="E285" s="248"/>
      <c r="F285" s="248"/>
      <c r="G285" s="248"/>
      <c r="H285" s="248"/>
      <c r="I285" s="248"/>
      <c r="J285" s="248"/>
      <c r="K285" s="248"/>
      <c r="L285" s="248"/>
      <c r="M285" s="248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  <c r="AA285" s="248"/>
      <c r="AB285" s="248"/>
      <c r="AC285" s="248"/>
      <c r="AD285" s="248"/>
      <c r="AE285" s="248"/>
      <c r="AF285" s="248"/>
      <c r="AG285" s="248"/>
      <c r="AH285" s="248"/>
      <c r="AI285" s="229">
        <v>136482</v>
      </c>
      <c r="AJ285" s="256">
        <f>+AJ284</f>
        <v>134341</v>
      </c>
      <c r="AK285" s="226">
        <f>+AI285-AI284</f>
        <v>2437.0967741935456</v>
      </c>
    </row>
    <row r="286" spans="3:37" s="142" customFormat="1" ht="12.75">
      <c r="C286" s="223">
        <f t="shared" si="36"/>
        <v>2017.2499907000138</v>
      </c>
      <c r="D286" s="224">
        <v>42795</v>
      </c>
      <c r="E286" s="248"/>
      <c r="F286" s="248"/>
      <c r="G286" s="248"/>
      <c r="H286" s="248"/>
      <c r="I286" s="248"/>
      <c r="J286" s="248"/>
      <c r="K286" s="248"/>
      <c r="L286" s="248"/>
      <c r="M286" s="248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  <c r="AA286" s="248"/>
      <c r="AB286" s="248"/>
      <c r="AC286" s="248"/>
      <c r="AD286" s="248"/>
      <c r="AE286" s="248"/>
      <c r="AF286" s="248"/>
      <c r="AG286" s="248"/>
      <c r="AH286" s="248"/>
      <c r="AI286" s="229">
        <v>134270</v>
      </c>
      <c r="AJ286" s="256">
        <f aca="true" t="shared" si="40" ref="AJ286:AJ295">+AJ285</f>
        <v>134341</v>
      </c>
      <c r="AK286" s="226">
        <f t="shared" si="37"/>
        <v>-2212</v>
      </c>
    </row>
    <row r="287" spans="3:37" s="142" customFormat="1" ht="12.75">
      <c r="C287" s="223">
        <f t="shared" si="36"/>
        <v>2017.3333240000138</v>
      </c>
      <c r="D287" s="224">
        <v>42826</v>
      </c>
      <c r="E287" s="248"/>
      <c r="F287" s="249"/>
      <c r="G287" s="248"/>
      <c r="H287" s="248"/>
      <c r="I287" s="248"/>
      <c r="J287" s="248"/>
      <c r="K287" s="248"/>
      <c r="L287" s="248"/>
      <c r="M287" s="248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  <c r="AA287" s="248"/>
      <c r="AB287" s="248"/>
      <c r="AC287" s="248"/>
      <c r="AD287" s="248"/>
      <c r="AE287" s="248"/>
      <c r="AF287" s="248"/>
      <c r="AG287" s="248"/>
      <c r="AH287" s="248"/>
      <c r="AI287" s="229">
        <v>128929</v>
      </c>
      <c r="AJ287" s="256">
        <f t="shared" si="40"/>
        <v>134341</v>
      </c>
      <c r="AK287" s="226">
        <f t="shared" si="37"/>
        <v>-5341</v>
      </c>
    </row>
    <row r="288" spans="3:37" ht="12.75">
      <c r="C288" s="223">
        <f t="shared" si="36"/>
        <v>2017.4166573000139</v>
      </c>
      <c r="D288" s="224">
        <v>42856</v>
      </c>
      <c r="E288" s="250"/>
      <c r="F288" s="249"/>
      <c r="G288" s="248"/>
      <c r="H288" s="248"/>
      <c r="I288" s="248"/>
      <c r="J288" s="248"/>
      <c r="K288" s="250"/>
      <c r="L288" s="250"/>
      <c r="M288" s="248"/>
      <c r="N288" s="250"/>
      <c r="O288" s="250"/>
      <c r="P288" s="250"/>
      <c r="Q288" s="248"/>
      <c r="R288" s="250"/>
      <c r="S288" s="248"/>
      <c r="T288" s="248"/>
      <c r="U288" s="248"/>
      <c r="V288" s="248"/>
      <c r="W288" s="250"/>
      <c r="X288" s="248"/>
      <c r="Y288" s="248"/>
      <c r="Z288" s="248"/>
      <c r="AA288" s="250"/>
      <c r="AB288" s="248"/>
      <c r="AC288" s="248"/>
      <c r="AD288" s="248"/>
      <c r="AE288" s="248"/>
      <c r="AF288" s="250"/>
      <c r="AG288" s="250"/>
      <c r="AH288" s="248"/>
      <c r="AI288" s="229">
        <v>130741</v>
      </c>
      <c r="AJ288" s="256">
        <f t="shared" si="40"/>
        <v>134341</v>
      </c>
      <c r="AK288" s="226">
        <f aca="true" t="shared" si="41" ref="AK288:AK294">+AI288-AI287</f>
        <v>1812</v>
      </c>
    </row>
    <row r="289" spans="3:37" ht="12.75">
      <c r="C289" s="223">
        <f t="shared" si="36"/>
        <v>2017.499990600014</v>
      </c>
      <c r="D289" s="224">
        <v>42887</v>
      </c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S289" s="250"/>
      <c r="T289" s="250"/>
      <c r="U289" s="250"/>
      <c r="V289" s="250"/>
      <c r="W289" s="250"/>
      <c r="X289" s="250"/>
      <c r="Y289" s="250"/>
      <c r="Z289" s="250"/>
      <c r="AA289" s="250"/>
      <c r="AB289" s="250"/>
      <c r="AC289" s="250"/>
      <c r="AD289" s="250"/>
      <c r="AE289" s="250"/>
      <c r="AF289" s="250"/>
      <c r="AG289" s="250"/>
      <c r="AH289" s="251"/>
      <c r="AI289" s="229">
        <v>137465</v>
      </c>
      <c r="AJ289" s="256">
        <f t="shared" si="40"/>
        <v>134341</v>
      </c>
      <c r="AK289" s="226">
        <f t="shared" si="41"/>
        <v>6724</v>
      </c>
    </row>
    <row r="290" spans="3:37" ht="12.75">
      <c r="C290" s="223">
        <f t="shared" si="36"/>
        <v>2017.583323900014</v>
      </c>
      <c r="D290" s="224">
        <v>42917</v>
      </c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S290" s="248"/>
      <c r="T290" s="250"/>
      <c r="U290" s="250"/>
      <c r="V290" s="250"/>
      <c r="W290" s="250"/>
      <c r="X290" s="250"/>
      <c r="Y290" s="250"/>
      <c r="Z290" s="250"/>
      <c r="AA290" s="250"/>
      <c r="AB290" s="250"/>
      <c r="AC290" s="250"/>
      <c r="AD290" s="250"/>
      <c r="AE290" s="250"/>
      <c r="AF290" s="250"/>
      <c r="AG290" s="250"/>
      <c r="AH290" s="250"/>
      <c r="AI290" s="229">
        <v>133467</v>
      </c>
      <c r="AJ290" s="256">
        <f t="shared" si="40"/>
        <v>134341</v>
      </c>
      <c r="AK290" s="226">
        <f t="shared" si="41"/>
        <v>-3998</v>
      </c>
    </row>
    <row r="291" spans="3:37" ht="12.75">
      <c r="C291" s="223">
        <f t="shared" si="36"/>
        <v>2017.666657200014</v>
      </c>
      <c r="D291" s="224">
        <v>42948</v>
      </c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S291" s="250"/>
      <c r="T291" s="250"/>
      <c r="U291" s="250"/>
      <c r="V291" s="250"/>
      <c r="W291" s="250"/>
      <c r="X291" s="250"/>
      <c r="Y291" s="250"/>
      <c r="Z291" s="250"/>
      <c r="AA291" s="250"/>
      <c r="AB291" s="250"/>
      <c r="AC291" s="250"/>
      <c r="AD291" s="250"/>
      <c r="AE291" s="250"/>
      <c r="AF291" s="250"/>
      <c r="AG291" s="250"/>
      <c r="AH291" s="250"/>
      <c r="AI291" s="229">
        <v>145366</v>
      </c>
      <c r="AJ291" s="256">
        <f>+AJ290</f>
        <v>134341</v>
      </c>
      <c r="AK291" s="226">
        <f t="shared" si="41"/>
        <v>11899</v>
      </c>
    </row>
    <row r="292" spans="3:37" ht="12.75">
      <c r="C292" s="223">
        <f t="shared" si="36"/>
        <v>2017.749990500014</v>
      </c>
      <c r="D292" s="224">
        <v>42979</v>
      </c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S292" s="250"/>
      <c r="T292" s="250"/>
      <c r="U292" s="250"/>
      <c r="V292" s="250"/>
      <c r="W292" s="250"/>
      <c r="X292" s="250"/>
      <c r="Y292" s="250"/>
      <c r="Z292" s="250"/>
      <c r="AA292" s="250"/>
      <c r="AB292" s="250"/>
      <c r="AC292" s="250"/>
      <c r="AD292" s="250"/>
      <c r="AE292" s="250"/>
      <c r="AF292" s="250"/>
      <c r="AG292" s="250"/>
      <c r="AH292" s="250"/>
      <c r="AI292" s="229">
        <v>123825</v>
      </c>
      <c r="AJ292" s="256">
        <f t="shared" si="40"/>
        <v>134341</v>
      </c>
      <c r="AK292" s="226">
        <f t="shared" si="41"/>
        <v>-21541</v>
      </c>
    </row>
    <row r="293" spans="3:37" ht="12.75">
      <c r="C293" s="223">
        <f t="shared" si="36"/>
        <v>2017.833323800014</v>
      </c>
      <c r="D293" s="224">
        <v>43009</v>
      </c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S293" s="250"/>
      <c r="T293" s="250"/>
      <c r="U293" s="250"/>
      <c r="V293" s="250"/>
      <c r="W293" s="250"/>
      <c r="X293" s="250"/>
      <c r="Y293" s="250"/>
      <c r="Z293" s="250"/>
      <c r="AA293" s="250"/>
      <c r="AB293" s="250"/>
      <c r="AC293" s="250"/>
      <c r="AD293" s="250"/>
      <c r="AE293" s="250"/>
      <c r="AF293" s="250"/>
      <c r="AG293" s="250"/>
      <c r="AH293" s="250"/>
      <c r="AI293" s="229">
        <v>131594</v>
      </c>
      <c r="AJ293" s="256">
        <f t="shared" si="40"/>
        <v>134341</v>
      </c>
      <c r="AK293" s="226">
        <f t="shared" si="41"/>
        <v>7769</v>
      </c>
    </row>
    <row r="294" spans="3:37" ht="12.75">
      <c r="C294" s="223">
        <f t="shared" si="36"/>
        <v>2017.9166571000142</v>
      </c>
      <c r="D294" s="224">
        <v>43040</v>
      </c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S294" s="250"/>
      <c r="T294" s="250"/>
      <c r="U294" s="250"/>
      <c r="V294" s="250"/>
      <c r="W294" s="250"/>
      <c r="X294" s="250"/>
      <c r="Y294" s="250"/>
      <c r="Z294" s="250"/>
      <c r="AA294" s="250"/>
      <c r="AB294" s="250"/>
      <c r="AC294" s="250"/>
      <c r="AD294" s="250"/>
      <c r="AE294" s="250"/>
      <c r="AF294" s="250"/>
      <c r="AG294" s="250"/>
      <c r="AH294" s="250"/>
      <c r="AI294" s="229">
        <v>134376</v>
      </c>
      <c r="AJ294" s="256">
        <f t="shared" si="40"/>
        <v>134341</v>
      </c>
      <c r="AK294" s="226">
        <f t="shared" si="41"/>
        <v>2782</v>
      </c>
    </row>
    <row r="295" spans="3:37" ht="12.75">
      <c r="C295" s="223">
        <f t="shared" si="36"/>
        <v>2017.9999904000142</v>
      </c>
      <c r="D295" s="224">
        <v>43070</v>
      </c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S295" s="250"/>
      <c r="T295" s="250"/>
      <c r="U295" s="250"/>
      <c r="V295" s="250"/>
      <c r="W295" s="250"/>
      <c r="X295" s="250"/>
      <c r="Y295" s="250"/>
      <c r="Z295" s="250"/>
      <c r="AA295" s="250"/>
      <c r="AB295" s="250"/>
      <c r="AC295" s="250"/>
      <c r="AD295" s="250"/>
      <c r="AE295" s="250"/>
      <c r="AF295" s="250"/>
      <c r="AG295" s="250"/>
      <c r="AH295" s="250"/>
      <c r="AI295" s="229">
        <v>141326</v>
      </c>
      <c r="AJ295" s="256">
        <f t="shared" si="40"/>
        <v>134341</v>
      </c>
      <c r="AK295" s="226">
        <f>+AI295-AI294</f>
        <v>6950</v>
      </c>
    </row>
    <row r="296" spans="1:37" ht="12.75">
      <c r="A296" s="257"/>
      <c r="B296" s="257"/>
      <c r="C296" s="258">
        <f t="shared" si="36"/>
        <v>2018.0833237000143</v>
      </c>
      <c r="D296" s="259">
        <v>43101</v>
      </c>
      <c r="E296" s="260"/>
      <c r="F296" s="260"/>
      <c r="G296" s="260"/>
      <c r="H296" s="260"/>
      <c r="I296" s="260"/>
      <c r="J296" s="260"/>
      <c r="K296" s="260"/>
      <c r="L296" s="260"/>
      <c r="M296" s="260"/>
      <c r="N296" s="260"/>
      <c r="O296" s="260"/>
      <c r="P296" s="260"/>
      <c r="Q296" s="260"/>
      <c r="R296" s="260"/>
      <c r="S296" s="260"/>
      <c r="T296" s="260"/>
      <c r="U296" s="260"/>
      <c r="V296" s="260"/>
      <c r="W296" s="260"/>
      <c r="X296" s="260"/>
      <c r="Y296" s="260"/>
      <c r="Z296" s="260"/>
      <c r="AA296" s="260"/>
      <c r="AB296" s="260"/>
      <c r="AC296" s="260"/>
      <c r="AD296" s="260"/>
      <c r="AE296" s="260"/>
      <c r="AF296" s="260"/>
      <c r="AG296" s="260"/>
      <c r="AH296" s="260"/>
      <c r="AI296" s="261">
        <v>138374</v>
      </c>
      <c r="AJ296" s="262">
        <v>132205</v>
      </c>
      <c r="AK296" s="263">
        <f aca="true" t="shared" si="42" ref="AK296:AK302">+AI296-AI295</f>
        <v>-2952</v>
      </c>
    </row>
    <row r="297" spans="1:37" ht="12.75">
      <c r="A297" s="257"/>
      <c r="B297" s="257"/>
      <c r="C297" s="258">
        <f t="shared" si="36"/>
        <v>2018.1666570000143</v>
      </c>
      <c r="D297" s="259">
        <v>43132</v>
      </c>
      <c r="E297" s="260"/>
      <c r="F297" s="260"/>
      <c r="G297" s="260"/>
      <c r="H297" s="260"/>
      <c r="I297" s="260"/>
      <c r="J297" s="260"/>
      <c r="K297" s="260"/>
      <c r="L297" s="260"/>
      <c r="M297" s="260"/>
      <c r="N297" s="260"/>
      <c r="O297" s="260"/>
      <c r="P297" s="260"/>
      <c r="Q297" s="260"/>
      <c r="R297" s="260"/>
      <c r="S297" s="260"/>
      <c r="T297" s="260"/>
      <c r="U297" s="260"/>
      <c r="V297" s="260"/>
      <c r="W297" s="260"/>
      <c r="X297" s="260"/>
      <c r="Y297" s="260"/>
      <c r="Z297" s="260"/>
      <c r="AA297" s="260"/>
      <c r="AB297" s="260"/>
      <c r="AC297" s="260"/>
      <c r="AD297" s="260"/>
      <c r="AE297" s="260"/>
      <c r="AF297" s="260"/>
      <c r="AG297" s="260"/>
      <c r="AH297" s="260"/>
      <c r="AI297" s="261">
        <v>101698</v>
      </c>
      <c r="AJ297" s="262">
        <f aca="true" t="shared" si="43" ref="AJ297:AJ303">+AJ296</f>
        <v>132205</v>
      </c>
      <c r="AK297" s="263">
        <f t="shared" si="42"/>
        <v>-36676</v>
      </c>
    </row>
    <row r="298" spans="1:37" ht="12.75">
      <c r="A298" s="257"/>
      <c r="B298" s="257"/>
      <c r="C298" s="258">
        <f t="shared" si="36"/>
        <v>2018.2499903000144</v>
      </c>
      <c r="D298" s="259">
        <v>43160</v>
      </c>
      <c r="E298" s="260"/>
      <c r="F298" s="260"/>
      <c r="G298" s="260"/>
      <c r="H298" s="260"/>
      <c r="I298" s="260"/>
      <c r="J298" s="260"/>
      <c r="K298" s="260"/>
      <c r="L298" s="260"/>
      <c r="M298" s="260"/>
      <c r="N298" s="260"/>
      <c r="O298" s="260"/>
      <c r="P298" s="260"/>
      <c r="Q298" s="260"/>
      <c r="R298" s="260"/>
      <c r="S298" s="260"/>
      <c r="T298" s="260"/>
      <c r="U298" s="260"/>
      <c r="V298" s="260"/>
      <c r="W298" s="260"/>
      <c r="X298" s="260"/>
      <c r="Y298" s="260"/>
      <c r="Z298" s="260"/>
      <c r="AA298" s="260"/>
      <c r="AB298" s="260"/>
      <c r="AC298" s="260"/>
      <c r="AD298" s="260"/>
      <c r="AE298" s="260"/>
      <c r="AF298" s="260"/>
      <c r="AG298" s="260"/>
      <c r="AH298" s="260"/>
      <c r="AI298" s="261">
        <v>142289</v>
      </c>
      <c r="AJ298" s="262">
        <f t="shared" si="43"/>
        <v>132205</v>
      </c>
      <c r="AK298" s="263">
        <f t="shared" si="42"/>
        <v>40591</v>
      </c>
    </row>
    <row r="299" spans="1:37" ht="12.75">
      <c r="A299" s="257"/>
      <c r="B299" s="257"/>
      <c r="C299" s="258">
        <f t="shared" si="36"/>
        <v>2018.3333236000144</v>
      </c>
      <c r="D299" s="259">
        <v>43191</v>
      </c>
      <c r="E299" s="260"/>
      <c r="F299" s="260"/>
      <c r="G299" s="260"/>
      <c r="H299" s="260"/>
      <c r="I299" s="260"/>
      <c r="J299" s="260"/>
      <c r="K299" s="260"/>
      <c r="L299" s="260"/>
      <c r="M299" s="260"/>
      <c r="N299" s="260"/>
      <c r="O299" s="260"/>
      <c r="P299" s="260"/>
      <c r="Q299" s="260"/>
      <c r="R299" s="260"/>
      <c r="S299" s="260"/>
      <c r="T299" s="260"/>
      <c r="U299" s="260"/>
      <c r="V299" s="260"/>
      <c r="W299" s="260"/>
      <c r="X299" s="260"/>
      <c r="Y299" s="260"/>
      <c r="Z299" s="260"/>
      <c r="AA299" s="260"/>
      <c r="AB299" s="260"/>
      <c r="AC299" s="260"/>
      <c r="AD299" s="260"/>
      <c r="AE299" s="260"/>
      <c r="AF299" s="260"/>
      <c r="AG299" s="260"/>
      <c r="AH299" s="260"/>
      <c r="AI299" s="261">
        <v>144501</v>
      </c>
      <c r="AJ299" s="262">
        <f t="shared" si="43"/>
        <v>132205</v>
      </c>
      <c r="AK299" s="263">
        <f t="shared" si="42"/>
        <v>2212</v>
      </c>
    </row>
    <row r="300" spans="1:37" ht="12.75">
      <c r="A300" s="257"/>
      <c r="B300" s="257"/>
      <c r="C300" s="258">
        <f t="shared" si="36"/>
        <v>2018.4166569000145</v>
      </c>
      <c r="D300" s="259">
        <v>43221</v>
      </c>
      <c r="E300" s="260"/>
      <c r="F300" s="260"/>
      <c r="G300" s="260"/>
      <c r="H300" s="260"/>
      <c r="I300" s="260"/>
      <c r="J300" s="260"/>
      <c r="K300" s="260"/>
      <c r="L300" s="260"/>
      <c r="M300" s="260"/>
      <c r="N300" s="260"/>
      <c r="O300" s="260"/>
      <c r="P300" s="260"/>
      <c r="Q300" s="260"/>
      <c r="R300" s="260"/>
      <c r="S300" s="260"/>
      <c r="T300" s="260"/>
      <c r="U300" s="260"/>
      <c r="V300" s="260"/>
      <c r="W300" s="260"/>
      <c r="X300" s="260"/>
      <c r="Y300" s="260"/>
      <c r="Z300" s="260"/>
      <c r="AA300" s="260"/>
      <c r="AB300" s="260"/>
      <c r="AC300" s="260"/>
      <c r="AD300" s="260"/>
      <c r="AE300" s="260"/>
      <c r="AF300" s="260"/>
      <c r="AG300" s="260"/>
      <c r="AH300" s="260"/>
      <c r="AI300" s="261">
        <v>146765</v>
      </c>
      <c r="AJ300" s="262">
        <f t="shared" si="43"/>
        <v>132205</v>
      </c>
      <c r="AK300" s="263">
        <f t="shared" si="42"/>
        <v>2264</v>
      </c>
    </row>
    <row r="301" spans="1:37" ht="12.75">
      <c r="A301" s="257"/>
      <c r="B301" s="257"/>
      <c r="C301" s="258">
        <f aca="true" t="shared" si="44" ref="C301:C307">+C300+0.0833333</f>
        <v>2018.4999902000145</v>
      </c>
      <c r="D301" s="259">
        <v>43252</v>
      </c>
      <c r="E301" s="260"/>
      <c r="F301" s="260"/>
      <c r="G301" s="260"/>
      <c r="H301" s="260"/>
      <c r="I301" s="260"/>
      <c r="J301" s="260"/>
      <c r="K301" s="260"/>
      <c r="L301" s="260"/>
      <c r="M301" s="260"/>
      <c r="N301" s="260"/>
      <c r="O301" s="260"/>
      <c r="P301" s="260"/>
      <c r="Q301" s="260"/>
      <c r="R301" s="260"/>
      <c r="S301" s="260"/>
      <c r="T301" s="260"/>
      <c r="U301" s="260"/>
      <c r="V301" s="260"/>
      <c r="W301" s="260"/>
      <c r="X301" s="260"/>
      <c r="Y301" s="260"/>
      <c r="Z301" s="260"/>
      <c r="AA301" s="260"/>
      <c r="AB301" s="260"/>
      <c r="AC301" s="260"/>
      <c r="AD301" s="260"/>
      <c r="AE301" s="260"/>
      <c r="AF301" s="260"/>
      <c r="AG301" s="260"/>
      <c r="AH301" s="260"/>
      <c r="AI301" s="261">
        <v>137474</v>
      </c>
      <c r="AJ301" s="262">
        <f t="shared" si="43"/>
        <v>132205</v>
      </c>
      <c r="AK301" s="263">
        <f t="shared" si="42"/>
        <v>-9291</v>
      </c>
    </row>
    <row r="302" spans="1:37" ht="12.75">
      <c r="A302" s="257"/>
      <c r="B302" s="257"/>
      <c r="C302" s="258">
        <f t="shared" si="44"/>
        <v>2018.5833235000146</v>
      </c>
      <c r="D302" s="259">
        <v>43282</v>
      </c>
      <c r="E302" s="260"/>
      <c r="F302" s="260"/>
      <c r="G302" s="260"/>
      <c r="H302" s="260"/>
      <c r="I302" s="260"/>
      <c r="J302" s="260"/>
      <c r="K302" s="260"/>
      <c r="L302" s="260"/>
      <c r="M302" s="260"/>
      <c r="N302" s="260"/>
      <c r="O302" s="260"/>
      <c r="P302" s="260"/>
      <c r="Q302" s="260"/>
      <c r="R302" s="260"/>
      <c r="S302" s="260"/>
      <c r="T302" s="260"/>
      <c r="U302" s="260"/>
      <c r="V302" s="260"/>
      <c r="W302" s="260"/>
      <c r="X302" s="260"/>
      <c r="Y302" s="260"/>
      <c r="Z302" s="260"/>
      <c r="AA302" s="260"/>
      <c r="AB302" s="260"/>
      <c r="AC302" s="260"/>
      <c r="AD302" s="260"/>
      <c r="AE302" s="260"/>
      <c r="AF302" s="260"/>
      <c r="AG302" s="260"/>
      <c r="AH302" s="260"/>
      <c r="AI302" s="261">
        <v>124379</v>
      </c>
      <c r="AJ302" s="262">
        <f t="shared" si="43"/>
        <v>132205</v>
      </c>
      <c r="AK302" s="263">
        <f t="shared" si="42"/>
        <v>-13095</v>
      </c>
    </row>
    <row r="303" spans="1:37" ht="12.75">
      <c r="A303" s="257"/>
      <c r="B303" s="257"/>
      <c r="C303" s="258">
        <f t="shared" si="44"/>
        <v>2018.6666568000146</v>
      </c>
      <c r="D303" s="259">
        <v>43313</v>
      </c>
      <c r="E303" s="260"/>
      <c r="F303" s="260"/>
      <c r="G303" s="260"/>
      <c r="H303" s="260"/>
      <c r="I303" s="260"/>
      <c r="J303" s="260"/>
      <c r="K303" s="260"/>
      <c r="L303" s="260"/>
      <c r="M303" s="260"/>
      <c r="N303" s="260"/>
      <c r="O303" s="260"/>
      <c r="P303" s="260"/>
      <c r="Q303" s="260"/>
      <c r="R303" s="260"/>
      <c r="S303" s="260"/>
      <c r="T303" s="260"/>
      <c r="U303" s="260"/>
      <c r="V303" s="260"/>
      <c r="W303" s="260"/>
      <c r="X303" s="260"/>
      <c r="Y303" s="260"/>
      <c r="Z303" s="260"/>
      <c r="AA303" s="260"/>
      <c r="AB303" s="260"/>
      <c r="AC303" s="260"/>
      <c r="AD303" s="260"/>
      <c r="AE303" s="260"/>
      <c r="AF303" s="260"/>
      <c r="AG303" s="260"/>
      <c r="AH303" s="260"/>
      <c r="AI303" s="264">
        <v>108172</v>
      </c>
      <c r="AJ303" s="265">
        <f t="shared" si="43"/>
        <v>132205</v>
      </c>
      <c r="AK303" s="263">
        <f aca="true" t="shared" si="45" ref="AK303:AK309">+AI303-AI302</f>
        <v>-16207</v>
      </c>
    </row>
    <row r="304" spans="1:37" ht="12.75">
      <c r="A304" s="257"/>
      <c r="B304" s="257"/>
      <c r="C304" s="258">
        <f t="shared" si="44"/>
        <v>2018.7499901000147</v>
      </c>
      <c r="D304" s="259">
        <v>43344</v>
      </c>
      <c r="E304" s="260"/>
      <c r="F304" s="260"/>
      <c r="G304" s="260"/>
      <c r="H304" s="260"/>
      <c r="I304" s="260"/>
      <c r="J304" s="260"/>
      <c r="K304" s="260"/>
      <c r="L304" s="260"/>
      <c r="M304" s="260"/>
      <c r="N304" s="260"/>
      <c r="O304" s="260"/>
      <c r="P304" s="260"/>
      <c r="Q304" s="260"/>
      <c r="R304" s="260"/>
      <c r="S304" s="260"/>
      <c r="T304" s="260"/>
      <c r="U304" s="260"/>
      <c r="V304" s="260"/>
      <c r="W304" s="260"/>
      <c r="X304" s="260"/>
      <c r="Y304" s="260"/>
      <c r="Z304" s="260"/>
      <c r="AA304" s="260"/>
      <c r="AB304" s="260"/>
      <c r="AC304" s="260"/>
      <c r="AD304" s="260"/>
      <c r="AE304" s="260"/>
      <c r="AF304" s="260"/>
      <c r="AG304" s="260"/>
      <c r="AH304" s="260"/>
      <c r="AI304" s="261">
        <v>144198</v>
      </c>
      <c r="AJ304" s="262">
        <f>+AJ303</f>
        <v>132205</v>
      </c>
      <c r="AK304" s="263">
        <f t="shared" si="45"/>
        <v>36026</v>
      </c>
    </row>
    <row r="305" spans="3:37" ht="12.75">
      <c r="C305" s="258">
        <f t="shared" si="44"/>
        <v>2018.8333234000147</v>
      </c>
      <c r="D305" s="259">
        <v>43374</v>
      </c>
      <c r="E305" s="260"/>
      <c r="F305" s="260"/>
      <c r="G305" s="260"/>
      <c r="H305" s="260"/>
      <c r="I305" s="260"/>
      <c r="J305" s="260"/>
      <c r="K305" s="260"/>
      <c r="L305" s="260"/>
      <c r="M305" s="260"/>
      <c r="N305" s="260"/>
      <c r="O305" s="260"/>
      <c r="P305" s="260"/>
      <c r="Q305" s="260"/>
      <c r="R305" s="260"/>
      <c r="S305" s="260"/>
      <c r="T305" s="260"/>
      <c r="U305" s="260"/>
      <c r="V305" s="260"/>
      <c r="W305" s="260"/>
      <c r="X305" s="260"/>
      <c r="Y305" s="260"/>
      <c r="Z305" s="260"/>
      <c r="AA305" s="260"/>
      <c r="AB305" s="260"/>
      <c r="AC305" s="260"/>
      <c r="AD305" s="260"/>
      <c r="AE305" s="260"/>
      <c r="AF305" s="260"/>
      <c r="AG305" s="260"/>
      <c r="AH305" s="260"/>
      <c r="AI305" s="261">
        <v>138963</v>
      </c>
      <c r="AJ305" s="262">
        <f>+AJ304</f>
        <v>132205</v>
      </c>
      <c r="AK305" s="263">
        <f t="shared" si="45"/>
        <v>-5235</v>
      </c>
    </row>
    <row r="306" spans="3:37" ht="12.75">
      <c r="C306" s="258">
        <f t="shared" si="44"/>
        <v>2018.9166567000148</v>
      </c>
      <c r="D306" s="259">
        <v>43405</v>
      </c>
      <c r="E306" s="260"/>
      <c r="F306" s="260"/>
      <c r="G306" s="260"/>
      <c r="H306" s="260"/>
      <c r="I306" s="260"/>
      <c r="J306" s="260"/>
      <c r="K306" s="260"/>
      <c r="L306" s="260"/>
      <c r="M306" s="260"/>
      <c r="N306" s="260"/>
      <c r="O306" s="260"/>
      <c r="P306" s="260"/>
      <c r="Q306" s="260"/>
      <c r="R306" s="260"/>
      <c r="S306" s="260"/>
      <c r="T306" s="260"/>
      <c r="U306" s="260"/>
      <c r="V306" s="260"/>
      <c r="W306" s="260"/>
      <c r="X306" s="260"/>
      <c r="Y306" s="260"/>
      <c r="Z306" s="260"/>
      <c r="AA306" s="260"/>
      <c r="AB306" s="260"/>
      <c r="AC306" s="260"/>
      <c r="AD306" s="260"/>
      <c r="AE306" s="260"/>
      <c r="AF306" s="260"/>
      <c r="AG306" s="260"/>
      <c r="AH306" s="260"/>
      <c r="AI306" s="261">
        <v>142919</v>
      </c>
      <c r="AJ306" s="262">
        <f>+AJ305</f>
        <v>132205</v>
      </c>
      <c r="AK306" s="263">
        <f t="shared" si="45"/>
        <v>3956</v>
      </c>
    </row>
    <row r="307" spans="3:37" ht="12.75">
      <c r="C307" s="258">
        <f t="shared" si="44"/>
        <v>2018.9999900000148</v>
      </c>
      <c r="D307" s="259">
        <v>43435</v>
      </c>
      <c r="E307" s="260"/>
      <c r="F307" s="260"/>
      <c r="G307" s="260"/>
      <c r="H307" s="260"/>
      <c r="I307" s="260"/>
      <c r="J307" s="260"/>
      <c r="K307" s="260"/>
      <c r="L307" s="260"/>
      <c r="M307" s="260"/>
      <c r="N307" s="260"/>
      <c r="O307" s="260"/>
      <c r="P307" s="260"/>
      <c r="Q307" s="260"/>
      <c r="R307" s="260"/>
      <c r="S307" s="260"/>
      <c r="T307" s="260"/>
      <c r="U307" s="260"/>
      <c r="V307" s="260"/>
      <c r="W307" s="260"/>
      <c r="X307" s="260"/>
      <c r="Y307" s="260"/>
      <c r="Z307" s="260"/>
      <c r="AA307" s="260"/>
      <c r="AB307" s="260"/>
      <c r="AC307" s="260"/>
      <c r="AD307" s="260"/>
      <c r="AE307" s="260"/>
      <c r="AF307" s="260"/>
      <c r="AG307" s="260"/>
      <c r="AH307" s="260"/>
      <c r="AI307" s="261">
        <v>140277</v>
      </c>
      <c r="AJ307" s="262">
        <f>+AJ306</f>
        <v>132205</v>
      </c>
      <c r="AK307" s="263">
        <f t="shared" si="45"/>
        <v>-2642</v>
      </c>
    </row>
    <row r="308" spans="3:37" ht="12.75">
      <c r="C308" s="268">
        <f aca="true" t="shared" si="46" ref="C308:C313">+C307+0.0833333</f>
        <v>2019.0833233000149</v>
      </c>
      <c r="D308" s="269">
        <v>43466</v>
      </c>
      <c r="E308" s="270"/>
      <c r="F308" s="270"/>
      <c r="G308" s="270"/>
      <c r="H308" s="270"/>
      <c r="I308" s="270"/>
      <c r="J308" s="270"/>
      <c r="K308" s="270"/>
      <c r="L308" s="270"/>
      <c r="M308" s="270"/>
      <c r="N308" s="270"/>
      <c r="O308" s="270"/>
      <c r="P308" s="270"/>
      <c r="Q308" s="270"/>
      <c r="R308" s="270"/>
      <c r="S308" s="270"/>
      <c r="T308" s="270"/>
      <c r="U308" s="270"/>
      <c r="V308" s="270"/>
      <c r="W308" s="270"/>
      <c r="X308" s="270"/>
      <c r="Y308" s="270"/>
      <c r="Z308" s="270"/>
      <c r="AA308" s="270"/>
      <c r="AB308" s="270"/>
      <c r="AC308" s="270"/>
      <c r="AD308" s="270"/>
      <c r="AE308" s="270"/>
      <c r="AF308" s="270"/>
      <c r="AG308" s="270"/>
      <c r="AH308" s="270"/>
      <c r="AI308" s="271">
        <v>131290</v>
      </c>
      <c r="AJ308" s="272">
        <v>135492</v>
      </c>
      <c r="AK308" s="273">
        <f t="shared" si="45"/>
        <v>-8987</v>
      </c>
    </row>
    <row r="309" spans="3:37" ht="12.75">
      <c r="C309" s="268">
        <f t="shared" si="46"/>
        <v>2019.166656600015</v>
      </c>
      <c r="D309" s="269">
        <v>43497</v>
      </c>
      <c r="E309" s="270"/>
      <c r="F309" s="270"/>
      <c r="G309" s="270"/>
      <c r="H309" s="270"/>
      <c r="I309" s="270"/>
      <c r="J309" s="270"/>
      <c r="K309" s="270"/>
      <c r="L309" s="270"/>
      <c r="M309" s="270"/>
      <c r="N309" s="270"/>
      <c r="O309" s="270"/>
      <c r="P309" s="270"/>
      <c r="Q309" s="270"/>
      <c r="R309" s="270"/>
      <c r="S309" s="270"/>
      <c r="T309" s="270"/>
      <c r="U309" s="270"/>
      <c r="V309" s="270"/>
      <c r="W309" s="270"/>
      <c r="X309" s="270"/>
      <c r="Y309" s="270"/>
      <c r="Z309" s="270"/>
      <c r="AA309" s="270"/>
      <c r="AB309" s="270"/>
      <c r="AC309" s="270"/>
      <c r="AD309" s="270"/>
      <c r="AE309" s="270"/>
      <c r="AF309" s="270"/>
      <c r="AG309" s="270"/>
      <c r="AH309" s="270"/>
      <c r="AI309" s="271">
        <v>142489</v>
      </c>
      <c r="AJ309" s="272">
        <v>135492</v>
      </c>
      <c r="AK309" s="273">
        <f t="shared" si="45"/>
        <v>11199</v>
      </c>
    </row>
    <row r="310" spans="3:37" ht="12.75">
      <c r="C310" s="268">
        <f t="shared" si="46"/>
        <v>2019.249989900015</v>
      </c>
      <c r="D310" s="269">
        <v>43525</v>
      </c>
      <c r="E310" s="270"/>
      <c r="F310" s="270"/>
      <c r="G310" s="270"/>
      <c r="H310" s="270"/>
      <c r="I310" s="270"/>
      <c r="J310" s="270"/>
      <c r="K310" s="270"/>
      <c r="L310" s="270"/>
      <c r="M310" s="270"/>
      <c r="N310" s="270"/>
      <c r="O310" s="270"/>
      <c r="P310" s="270"/>
      <c r="Q310" s="270"/>
      <c r="R310" s="270"/>
      <c r="S310" s="270"/>
      <c r="T310" s="270"/>
      <c r="U310" s="270"/>
      <c r="V310" s="270"/>
      <c r="W310" s="270"/>
      <c r="X310" s="270"/>
      <c r="Y310" s="270"/>
      <c r="Z310" s="270"/>
      <c r="AA310" s="270"/>
      <c r="AB310" s="270"/>
      <c r="AC310" s="270"/>
      <c r="AD310" s="270"/>
      <c r="AE310" s="270"/>
      <c r="AF310" s="270"/>
      <c r="AG310" s="270"/>
      <c r="AH310" s="270"/>
      <c r="AI310" s="271">
        <v>140094</v>
      </c>
      <c r="AJ310" s="272">
        <v>135492</v>
      </c>
      <c r="AK310" s="273">
        <f>+AI310-AI309</f>
        <v>-2395</v>
      </c>
    </row>
    <row r="311" spans="3:37" ht="12.75">
      <c r="C311" s="268">
        <f t="shared" si="46"/>
        <v>2019.333323200015</v>
      </c>
      <c r="D311" s="269">
        <v>43556</v>
      </c>
      <c r="E311" s="270"/>
      <c r="F311" s="270"/>
      <c r="G311" s="270"/>
      <c r="H311" s="270"/>
      <c r="I311" s="270"/>
      <c r="J311" s="270"/>
      <c r="K311" s="270"/>
      <c r="L311" s="270"/>
      <c r="M311" s="270"/>
      <c r="N311" s="270"/>
      <c r="O311" s="270"/>
      <c r="P311" s="270"/>
      <c r="Q311" s="270"/>
      <c r="R311" s="270"/>
      <c r="S311" s="270"/>
      <c r="T311" s="270"/>
      <c r="U311" s="270"/>
      <c r="V311" s="270"/>
      <c r="W311" s="270"/>
      <c r="X311" s="270"/>
      <c r="Y311" s="270"/>
      <c r="Z311" s="270"/>
      <c r="AA311" s="270"/>
      <c r="AB311" s="270"/>
      <c r="AC311" s="270"/>
      <c r="AD311" s="270"/>
      <c r="AE311" s="270"/>
      <c r="AF311" s="270"/>
      <c r="AG311" s="270"/>
      <c r="AH311" s="270"/>
      <c r="AI311" s="271">
        <v>129871</v>
      </c>
      <c r="AJ311" s="272">
        <v>135492</v>
      </c>
      <c r="AK311" s="273">
        <f>+AI311-AI310</f>
        <v>-10223</v>
      </c>
    </row>
    <row r="312" spans="3:37" ht="12.75">
      <c r="C312" s="268">
        <f t="shared" si="46"/>
        <v>2019.416656500015</v>
      </c>
      <c r="D312" s="269">
        <v>43586</v>
      </c>
      <c r="AI312" s="271">
        <v>136208</v>
      </c>
      <c r="AJ312" s="272">
        <v>135492</v>
      </c>
      <c r="AK312" s="273">
        <f>+AI312-AI311</f>
        <v>6337</v>
      </c>
    </row>
    <row r="313" spans="3:37" ht="12.75">
      <c r="C313" s="268">
        <f t="shared" si="46"/>
        <v>2019.499989800015</v>
      </c>
      <c r="D313" s="269">
        <v>43617</v>
      </c>
      <c r="AI313" s="271">
        <v>136972</v>
      </c>
      <c r="AJ313" s="272">
        <v>135492</v>
      </c>
      <c r="AK313" s="273">
        <f>+AI313-AI312</f>
        <v>764</v>
      </c>
    </row>
    <row r="314" spans="3:37" ht="12.75">
      <c r="C314" s="268">
        <f>+C313+0.0833333</f>
        <v>2019.5833231000151</v>
      </c>
      <c r="D314" s="269">
        <v>43647</v>
      </c>
      <c r="AI314" s="271">
        <v>132067</v>
      </c>
      <c r="AJ314" s="272">
        <v>135492</v>
      </c>
      <c r="AK314" s="273">
        <f>+AI314-AI313</f>
        <v>-4905</v>
      </c>
    </row>
  </sheetData>
  <sheetProtection/>
  <mergeCells count="194"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  <mergeCell ref="J256:K256"/>
    <mergeCell ref="J257:K257"/>
    <mergeCell ref="J258:K258"/>
    <mergeCell ref="J259:K259"/>
    <mergeCell ref="J260:K260"/>
    <mergeCell ref="J261:K261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44:K244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196:K196"/>
    <mergeCell ref="J192:K192"/>
    <mergeCell ref="J204:K204"/>
    <mergeCell ref="J200:K200"/>
    <mergeCell ref="J201:K201"/>
    <mergeCell ref="J198:K198"/>
    <mergeCell ref="J203:K203"/>
    <mergeCell ref="J202:K202"/>
    <mergeCell ref="J197:K197"/>
    <mergeCell ref="J165:K165"/>
    <mergeCell ref="J185:K185"/>
    <mergeCell ref="J195:K195"/>
    <mergeCell ref="J194:K194"/>
    <mergeCell ref="J191:K191"/>
    <mergeCell ref="J186:K186"/>
    <mergeCell ref="J190:K190"/>
    <mergeCell ref="J169:K169"/>
    <mergeCell ref="J181:K181"/>
    <mergeCell ref="J179:K179"/>
    <mergeCell ref="J215:K215"/>
    <mergeCell ref="J208:K208"/>
    <mergeCell ref="J209:K209"/>
    <mergeCell ref="J207:K207"/>
    <mergeCell ref="J216:K216"/>
    <mergeCell ref="J210:K210"/>
    <mergeCell ref="J214:K214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153:K153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46:K146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5:K105"/>
    <mergeCell ref="J94:K94"/>
    <mergeCell ref="J95:K95"/>
    <mergeCell ref="J97:K97"/>
    <mergeCell ref="J103:K103"/>
    <mergeCell ref="J102:K102"/>
    <mergeCell ref="J100:K100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51:K151"/>
    <mergeCell ref="J176:K176"/>
    <mergeCell ref="J174:K174"/>
    <mergeCell ref="J184:K184"/>
    <mergeCell ref="J154:K154"/>
    <mergeCell ref="J168:K168"/>
    <mergeCell ref="J163:K163"/>
    <mergeCell ref="J166:K166"/>
    <mergeCell ref="J164:K164"/>
    <mergeCell ref="J180:K180"/>
    <mergeCell ref="J217:K217"/>
    <mergeCell ref="J221:K221"/>
    <mergeCell ref="J236:K236"/>
    <mergeCell ref="J234:K234"/>
    <mergeCell ref="J230:K230"/>
    <mergeCell ref="J225:K225"/>
    <mergeCell ref="J223:K223"/>
    <mergeCell ref="J228:K228"/>
    <mergeCell ref="J173:K173"/>
    <mergeCell ref="J172:K172"/>
    <mergeCell ref="J170:K170"/>
    <mergeCell ref="J171:K171"/>
    <mergeCell ref="J211:K211"/>
    <mergeCell ref="J188:K188"/>
    <mergeCell ref="J189:K189"/>
    <mergeCell ref="J187:K187"/>
    <mergeCell ref="J177:K177"/>
    <mergeCell ref="J178:K178"/>
    <mergeCell ref="J239:K239"/>
    <mergeCell ref="J157:K157"/>
    <mergeCell ref="J199:K199"/>
    <mergeCell ref="J175:K175"/>
    <mergeCell ref="J193:K193"/>
    <mergeCell ref="J182:K182"/>
    <mergeCell ref="J183:K183"/>
    <mergeCell ref="J219:K219"/>
    <mergeCell ref="J231:K231"/>
    <mergeCell ref="J167:K167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</mergeCells>
  <printOptions horizontalCentered="1" verticalCentered="1"/>
  <pageMargins left="0.7874015748031497" right="0.7874015748031497" top="0.3937007874015748" bottom="0.2755905511811024" header="0.2362204724409449" footer="0.2362204724409449"/>
  <pageSetup fitToHeight="1" fitToWidth="1" horizontalDpi="600" verticalDpi="600" orientation="landscape" scale="31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xSplit="3" ySplit="4" topLeftCell="M28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293" sqref="R293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94" t="s">
        <v>31</v>
      </c>
      <c r="AG11" s="294"/>
      <c r="AH11" s="294"/>
      <c r="AI11" s="294"/>
      <c r="AJ11" s="294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94" t="s">
        <v>32</v>
      </c>
      <c r="AG12" s="294"/>
      <c r="AH12" s="294"/>
      <c r="AI12" s="294"/>
      <c r="AJ12" s="294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94" t="s">
        <v>33</v>
      </c>
      <c r="AG13" s="294"/>
      <c r="AH13" s="294"/>
      <c r="AI13" s="294"/>
      <c r="AJ13" s="294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8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79">
        <v>41974</v>
      </c>
      <c r="D256" s="180">
        <v>9270.322580645161</v>
      </c>
      <c r="E256" s="180">
        <v>2039.8387096774193</v>
      </c>
      <c r="F256" s="180">
        <v>3252.8387096774195</v>
      </c>
      <c r="G256" s="180">
        <v>13819.612903225807</v>
      </c>
      <c r="H256" s="180">
        <v>8629.161290322581</v>
      </c>
      <c r="I256" s="180">
        <v>5569.032258064516</v>
      </c>
      <c r="J256" s="180">
        <v>624992.1612903225</v>
      </c>
      <c r="K256" s="180">
        <v>531433.7741935484</v>
      </c>
      <c r="L256" s="180">
        <v>90899.58064516129</v>
      </c>
      <c r="M256" s="180">
        <v>13627.129032258064</v>
      </c>
      <c r="N256" s="180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7" customFormat="1" ht="12.75">
      <c r="B257" s="183">
        <f t="shared" si="14"/>
        <v>2015.0833249000107</v>
      </c>
      <c r="C257" s="184">
        <v>42005</v>
      </c>
      <c r="D257" s="185">
        <v>9462.225806451614</v>
      </c>
      <c r="E257" s="185">
        <v>1957.6774193548388</v>
      </c>
      <c r="F257" s="185">
        <v>3274.4193548387098</v>
      </c>
      <c r="G257" s="185">
        <v>13584.322580645161</v>
      </c>
      <c r="H257" s="185">
        <v>10849.225806451614</v>
      </c>
      <c r="I257" s="185">
        <v>5607.935483870968</v>
      </c>
      <c r="J257" s="185">
        <v>543248</v>
      </c>
      <c r="K257" s="185">
        <v>545663.4838709678</v>
      </c>
      <c r="L257" s="185">
        <v>86943.87096774194</v>
      </c>
      <c r="M257" s="185">
        <v>12718.741935483871</v>
      </c>
      <c r="N257" s="185">
        <f>+SUM(D257:M257)</f>
        <v>1233309.9032258063</v>
      </c>
      <c r="O257" s="185">
        <v>1294666.0901</v>
      </c>
      <c r="P257" s="186">
        <f>N257-N256</f>
        <v>-70223.54838709673</v>
      </c>
    </row>
    <row r="258" spans="2:16" s="187" customFormat="1" ht="12.75">
      <c r="B258" s="183">
        <f t="shared" si="14"/>
        <v>2015.1666582000107</v>
      </c>
      <c r="C258" s="184">
        <v>42036</v>
      </c>
      <c r="D258" s="185">
        <v>8833.785714285714</v>
      </c>
      <c r="E258" s="185">
        <v>2034.2142857142858</v>
      </c>
      <c r="F258" s="185">
        <v>2929.1428571428573</v>
      </c>
      <c r="G258" s="185">
        <v>11407.857142857143</v>
      </c>
      <c r="H258" s="185">
        <v>10935.67857142857</v>
      </c>
      <c r="I258" s="185">
        <v>4576.321428571428</v>
      </c>
      <c r="J258" s="185">
        <v>583878.0714285715</v>
      </c>
      <c r="K258" s="185">
        <v>513581.3214285714</v>
      </c>
      <c r="L258" s="185">
        <v>83334.07142857143</v>
      </c>
      <c r="M258" s="185">
        <v>14223.285714285714</v>
      </c>
      <c r="N258" s="185">
        <f t="shared" si="16"/>
        <v>1235733.75</v>
      </c>
      <c r="O258" s="185">
        <f>+O257</f>
        <v>1294666.0901</v>
      </c>
      <c r="P258" s="186">
        <f t="shared" si="12"/>
        <v>2423.846774193691</v>
      </c>
    </row>
    <row r="259" spans="2:16" s="187" customFormat="1" ht="12.75">
      <c r="B259" s="183">
        <f t="shared" si="14"/>
        <v>2015.2499915000108</v>
      </c>
      <c r="C259" s="184">
        <v>42064</v>
      </c>
      <c r="D259" s="185">
        <v>8982.967741935483</v>
      </c>
      <c r="E259" s="185">
        <v>1885.3870967741937</v>
      </c>
      <c r="F259" s="185">
        <v>3178.7741935483873</v>
      </c>
      <c r="G259" s="185">
        <v>13973.225806451614</v>
      </c>
      <c r="H259" s="185">
        <v>9418.90322580645</v>
      </c>
      <c r="I259" s="185">
        <v>5308.387096774193</v>
      </c>
      <c r="J259" s="185">
        <v>648717.8064516129</v>
      </c>
      <c r="K259" s="185">
        <v>459847.67741935485</v>
      </c>
      <c r="L259" s="185">
        <v>85955.19354838709</v>
      </c>
      <c r="M259" s="185">
        <v>14836.258064516129</v>
      </c>
      <c r="N259" s="185">
        <f t="shared" si="16"/>
        <v>1252104.5806451612</v>
      </c>
      <c r="O259" s="185">
        <f aca="true" t="shared" si="17" ref="O259:O268">+O258</f>
        <v>1294666.0901</v>
      </c>
      <c r="P259" s="186">
        <f t="shared" si="12"/>
        <v>16370.830645161215</v>
      </c>
    </row>
    <row r="260" spans="2:16" s="187" customFormat="1" ht="12.75">
      <c r="B260" s="183">
        <f t="shared" si="14"/>
        <v>2015.3333248000108</v>
      </c>
      <c r="C260" s="184">
        <v>42095</v>
      </c>
      <c r="D260" s="185">
        <v>9274.8</v>
      </c>
      <c r="E260" s="185">
        <v>1581.2741766666666</v>
      </c>
      <c r="F260" s="185">
        <v>3099.233333333333</v>
      </c>
      <c r="G260" s="185">
        <v>12211.233333333334</v>
      </c>
      <c r="H260" s="185">
        <v>10802.862433333334</v>
      </c>
      <c r="I260" s="185">
        <v>5125.704216666667</v>
      </c>
      <c r="J260" s="185">
        <v>594017.9018333333</v>
      </c>
      <c r="K260" s="185">
        <v>439317.15340999997</v>
      </c>
      <c r="L260" s="185">
        <v>63488.032713333334</v>
      </c>
      <c r="M260" s="185">
        <v>14572.773</v>
      </c>
      <c r="N260" s="185">
        <f t="shared" si="16"/>
        <v>1153490.96845</v>
      </c>
      <c r="O260" s="185">
        <f t="shared" si="17"/>
        <v>1294666.0901</v>
      </c>
      <c r="P260" s="186">
        <f aca="true" t="shared" si="18" ref="P260:P265">N260-N259</f>
        <v>-98613.61219516117</v>
      </c>
    </row>
    <row r="261" spans="2:16" s="187" customFormat="1" ht="12.75">
      <c r="B261" s="183">
        <f t="shared" si="14"/>
        <v>2015.4166581000109</v>
      </c>
      <c r="C261" s="184">
        <v>42125</v>
      </c>
      <c r="D261" s="185">
        <v>9211.935483870968</v>
      </c>
      <c r="E261" s="185">
        <v>1727.0645161290322</v>
      </c>
      <c r="F261" s="185">
        <v>3129.7096774193546</v>
      </c>
      <c r="G261" s="185">
        <v>12690.193548387097</v>
      </c>
      <c r="H261" s="185">
        <v>8367.225806451614</v>
      </c>
      <c r="I261" s="185">
        <v>7057.967741935484</v>
      </c>
      <c r="J261" s="185">
        <v>616913.0967741936</v>
      </c>
      <c r="K261" s="185">
        <v>292298.3548387097</v>
      </c>
      <c r="L261" s="185">
        <v>57255.8064516129</v>
      </c>
      <c r="M261" s="185">
        <v>16405.612903225807</v>
      </c>
      <c r="N261" s="185">
        <f t="shared" si="16"/>
        <v>1025056.9677419355</v>
      </c>
      <c r="O261" s="185">
        <f t="shared" si="17"/>
        <v>1294666.0901</v>
      </c>
      <c r="P261" s="186">
        <f t="shared" si="18"/>
        <v>-128434.00070806453</v>
      </c>
    </row>
    <row r="262" spans="2:16" s="187" customFormat="1" ht="12.75">
      <c r="B262" s="183">
        <f t="shared" si="14"/>
        <v>2015.499991400011</v>
      </c>
      <c r="C262" s="184">
        <v>42156</v>
      </c>
      <c r="D262" s="185">
        <v>9021.733333333334</v>
      </c>
      <c r="E262" s="185">
        <v>2145.2</v>
      </c>
      <c r="F262" s="185">
        <v>3132.733333333333</v>
      </c>
      <c r="G262" s="185">
        <v>14032.866666666667</v>
      </c>
      <c r="H262" s="185">
        <v>11017.8</v>
      </c>
      <c r="I262" s="185">
        <v>7550.066666666667</v>
      </c>
      <c r="J262" s="185">
        <v>709752.1666666666</v>
      </c>
      <c r="K262" s="185">
        <v>493899.8333333333</v>
      </c>
      <c r="L262" s="185">
        <v>87204.46666666666</v>
      </c>
      <c r="M262" s="185">
        <v>13853.066666666668</v>
      </c>
      <c r="N262" s="185">
        <f t="shared" si="16"/>
        <v>1351609.933333333</v>
      </c>
      <c r="O262" s="185">
        <f t="shared" si="17"/>
        <v>1294666.0901</v>
      </c>
      <c r="P262" s="186">
        <f t="shared" si="18"/>
        <v>326552.9655913976</v>
      </c>
    </row>
    <row r="263" spans="2:16" s="187" customFormat="1" ht="12.75">
      <c r="B263" s="183">
        <f t="shared" si="14"/>
        <v>2015.583324700011</v>
      </c>
      <c r="C263" s="184">
        <v>42186</v>
      </c>
      <c r="D263" s="185">
        <v>8545.870967741936</v>
      </c>
      <c r="E263" s="185">
        <v>2170.064516129032</v>
      </c>
      <c r="F263" s="185">
        <v>3139.2580645161293</v>
      </c>
      <c r="G263" s="185">
        <v>11242.516129032258</v>
      </c>
      <c r="H263" s="185">
        <v>10996.161290322581</v>
      </c>
      <c r="I263" s="185">
        <v>6095.322580645161</v>
      </c>
      <c r="J263" s="185">
        <v>690871.5806451613</v>
      </c>
      <c r="K263" s="185">
        <v>413778.67741935485</v>
      </c>
      <c r="L263" s="185">
        <v>66311</v>
      </c>
      <c r="M263" s="185">
        <v>11851</v>
      </c>
      <c r="N263" s="185">
        <f aca="true" t="shared" si="19" ref="N263:N268">+SUM(D263:M263)</f>
        <v>1225001.4516129033</v>
      </c>
      <c r="O263" s="185">
        <f t="shared" si="17"/>
        <v>1294666.0901</v>
      </c>
      <c r="P263" s="186">
        <f t="shared" si="18"/>
        <v>-126608.48172042985</v>
      </c>
    </row>
    <row r="264" spans="2:16" s="187" customFormat="1" ht="12.75">
      <c r="B264" s="183">
        <f t="shared" si="14"/>
        <v>2015.666658000011</v>
      </c>
      <c r="C264" s="184">
        <v>42217</v>
      </c>
      <c r="D264" s="185">
        <v>9719.967741935483</v>
      </c>
      <c r="E264" s="185">
        <v>2248.935483870968</v>
      </c>
      <c r="F264" s="185">
        <v>2970.483870967742</v>
      </c>
      <c r="G264" s="185">
        <v>14873</v>
      </c>
      <c r="H264" s="185">
        <v>10305.161290322581</v>
      </c>
      <c r="I264" s="185">
        <v>7934.419354838709</v>
      </c>
      <c r="J264" s="185">
        <v>690308.4193548387</v>
      </c>
      <c r="K264" s="185">
        <v>114776.03225806452</v>
      </c>
      <c r="L264" s="185">
        <v>36666.87096774193</v>
      </c>
      <c r="M264" s="185">
        <v>27430.451612903227</v>
      </c>
      <c r="N264" s="185">
        <f t="shared" si="19"/>
        <v>917233.7419354839</v>
      </c>
      <c r="O264" s="185">
        <f t="shared" si="17"/>
        <v>1294666.0901</v>
      </c>
      <c r="P264" s="186">
        <f t="shared" si="18"/>
        <v>-307767.7096774194</v>
      </c>
    </row>
    <row r="265" spans="2:16" s="187" customFormat="1" ht="12.75">
      <c r="B265" s="183">
        <f t="shared" si="14"/>
        <v>2015.749991300011</v>
      </c>
      <c r="C265" s="184">
        <v>42248</v>
      </c>
      <c r="D265" s="185">
        <v>10156.733333333334</v>
      </c>
      <c r="E265" s="185">
        <v>2365.2</v>
      </c>
      <c r="F265" s="185">
        <v>3094.5</v>
      </c>
      <c r="G265" s="185">
        <v>14264.2</v>
      </c>
      <c r="H265" s="185">
        <v>11655.030666666666</v>
      </c>
      <c r="I265" s="185">
        <v>6397.4619999999995</v>
      </c>
      <c r="J265" s="185">
        <v>660422.7266666667</v>
      </c>
      <c r="K265" s="185">
        <v>297993.391</v>
      </c>
      <c r="L265" s="185">
        <v>39825.037000000004</v>
      </c>
      <c r="M265" s="185">
        <v>20323.587</v>
      </c>
      <c r="N265" s="185">
        <f t="shared" si="19"/>
        <v>1066497.8676666669</v>
      </c>
      <c r="O265" s="185">
        <f t="shared" si="17"/>
        <v>1294666.0901</v>
      </c>
      <c r="P265" s="186">
        <f t="shared" si="18"/>
        <v>149264.12573118298</v>
      </c>
    </row>
    <row r="266" spans="2:16" s="187" customFormat="1" ht="12.75">
      <c r="B266" s="183">
        <f t="shared" si="14"/>
        <v>2015.833324600011</v>
      </c>
      <c r="C266" s="184">
        <v>42278</v>
      </c>
      <c r="D266" s="185">
        <v>10230.09677419355</v>
      </c>
      <c r="E266" s="185">
        <v>2386.128064516129</v>
      </c>
      <c r="F266" s="185">
        <v>3089.5806451612902</v>
      </c>
      <c r="G266" s="185">
        <v>13961.483870967742</v>
      </c>
      <c r="H266" s="185">
        <v>11280.827096774194</v>
      </c>
      <c r="I266" s="185">
        <v>5881.800645161291</v>
      </c>
      <c r="J266" s="185">
        <v>724629.9670967743</v>
      </c>
      <c r="K266" s="185">
        <v>495241.0487096774</v>
      </c>
      <c r="L266" s="185">
        <v>85658.41322580645</v>
      </c>
      <c r="M266" s="185">
        <v>19667.453548387097</v>
      </c>
      <c r="N266" s="185">
        <f t="shared" si="19"/>
        <v>1372026.7996774197</v>
      </c>
      <c r="O266" s="185">
        <f t="shared" si="17"/>
        <v>1294666.0901</v>
      </c>
      <c r="P266" s="186">
        <f>N266-N265</f>
        <v>305528.93201075285</v>
      </c>
    </row>
    <row r="267" spans="2:16" s="187" customFormat="1" ht="12.75">
      <c r="B267" s="183">
        <f t="shared" si="14"/>
        <v>2015.9166579000112</v>
      </c>
      <c r="C267" s="184">
        <v>42309</v>
      </c>
      <c r="D267" s="185">
        <v>10183.833333333334</v>
      </c>
      <c r="E267" s="185">
        <v>2416.233333333333</v>
      </c>
      <c r="F267" s="185">
        <v>2855.1</v>
      </c>
      <c r="G267" s="185">
        <v>13881.633333333333</v>
      </c>
      <c r="H267" s="185">
        <v>12016.9</v>
      </c>
      <c r="I267" s="185">
        <v>6130.566666666667</v>
      </c>
      <c r="J267" s="185">
        <v>703397.9333333333</v>
      </c>
      <c r="K267" s="185">
        <v>491247.8</v>
      </c>
      <c r="L267" s="185">
        <v>94854.56666666667</v>
      </c>
      <c r="M267" s="185">
        <v>16332.566666666668</v>
      </c>
      <c r="N267" s="185">
        <f t="shared" si="19"/>
        <v>1353317.1333333333</v>
      </c>
      <c r="O267" s="185">
        <f t="shared" si="17"/>
        <v>1294666.0901</v>
      </c>
      <c r="P267" s="186">
        <f>N267-N266</f>
        <v>-18709.666344086407</v>
      </c>
    </row>
    <row r="268" spans="2:16" s="187" customFormat="1" ht="12.75">
      <c r="B268" s="183">
        <f t="shared" si="14"/>
        <v>2015.9999912000112</v>
      </c>
      <c r="C268" s="191">
        <v>42339</v>
      </c>
      <c r="D268" s="192">
        <v>10131.967741935483</v>
      </c>
      <c r="E268" s="192">
        <v>2217.6129032258063</v>
      </c>
      <c r="F268" s="192">
        <v>3148.7419354838707</v>
      </c>
      <c r="G268" s="192">
        <v>12455.548387096775</v>
      </c>
      <c r="H268" s="192">
        <v>10061.935483870968</v>
      </c>
      <c r="I268" s="192">
        <v>7175.387096774193</v>
      </c>
      <c r="J268" s="192">
        <v>658062.0322580645</v>
      </c>
      <c r="K268" s="192">
        <v>529471.9354838709</v>
      </c>
      <c r="L268" s="192">
        <v>74477.41935483871</v>
      </c>
      <c r="M268" s="192">
        <v>19378.290322580644</v>
      </c>
      <c r="N268" s="192">
        <f t="shared" si="19"/>
        <v>1326580.8709677418</v>
      </c>
      <c r="O268" s="192">
        <f t="shared" si="17"/>
        <v>1294666.0901</v>
      </c>
      <c r="P268" s="193">
        <f>N268-N267</f>
        <v>-26736.26236559148</v>
      </c>
    </row>
    <row r="269" spans="1:16" ht="12.75">
      <c r="A269" s="187"/>
      <c r="B269" s="183">
        <f t="shared" si="14"/>
        <v>2016.0833245000113</v>
      </c>
      <c r="C269" s="219">
        <v>42370</v>
      </c>
      <c r="D269" s="194">
        <v>8343.032258064517</v>
      </c>
      <c r="E269" s="194">
        <v>2070.0967741935483</v>
      </c>
      <c r="F269" s="194">
        <v>3098</v>
      </c>
      <c r="G269" s="194">
        <v>11397.064516129032</v>
      </c>
      <c r="H269" s="194">
        <v>10120.90322580645</v>
      </c>
      <c r="I269" s="194">
        <v>7483.419354838709</v>
      </c>
      <c r="J269" s="194">
        <v>559286.1290322581</v>
      </c>
      <c r="K269" s="194">
        <v>303206.3870967742</v>
      </c>
      <c r="L269" s="194">
        <v>63920.25806451613</v>
      </c>
      <c r="M269" s="194">
        <v>29750.032258064515</v>
      </c>
      <c r="N269" s="194">
        <f aca="true" t="shared" si="20" ref="N269:N278">+SUM(D269:M269)</f>
        <v>998675.3225806451</v>
      </c>
      <c r="O269" s="220">
        <v>1350904.1949</v>
      </c>
      <c r="P269" s="194">
        <f>N269-N268</f>
        <v>-327905.54838709673</v>
      </c>
    </row>
    <row r="270" spans="1:16" s="5" customFormat="1" ht="13.5" customHeight="1">
      <c r="A270" s="187"/>
      <c r="B270" s="183">
        <f t="shared" si="14"/>
        <v>2016.1666578000113</v>
      </c>
      <c r="C270" s="219">
        <v>42401</v>
      </c>
      <c r="D270" s="194">
        <v>8595.689655172413</v>
      </c>
      <c r="E270" s="194">
        <v>1920.4317137931034</v>
      </c>
      <c r="F270" s="194">
        <v>3109.448275862069</v>
      </c>
      <c r="G270" s="194">
        <v>13098.068965517241</v>
      </c>
      <c r="H270" s="194">
        <v>8577.005131034482</v>
      </c>
      <c r="I270" s="194">
        <v>7077.8933</v>
      </c>
      <c r="J270" s="194">
        <v>652481.1699655172</v>
      </c>
      <c r="K270" s="194">
        <v>317178.39746206894</v>
      </c>
      <c r="L270" s="194">
        <v>32485.05454827586</v>
      </c>
      <c r="M270" s="194">
        <v>18702.80979310345</v>
      </c>
      <c r="N270" s="194">
        <f t="shared" si="20"/>
        <v>1063225.9688103448</v>
      </c>
      <c r="O270" s="217">
        <f>+O269</f>
        <v>1350904.1949</v>
      </c>
      <c r="P270" s="194">
        <f aca="true" t="shared" si="21" ref="P270:P278">N270-N269</f>
        <v>64550.64622969972</v>
      </c>
    </row>
    <row r="271" spans="1:16" s="5" customFormat="1" ht="12.75">
      <c r="A271" s="187"/>
      <c r="B271" s="183">
        <f t="shared" si="14"/>
        <v>2016.2499911000114</v>
      </c>
      <c r="C271" s="219">
        <v>42430</v>
      </c>
      <c r="D271" s="194">
        <v>8281.806451612903</v>
      </c>
      <c r="E271" s="194">
        <v>1988.3555387096774</v>
      </c>
      <c r="F271" s="194">
        <v>3155.6129032258063</v>
      </c>
      <c r="G271" s="194">
        <v>13441.677419354839</v>
      </c>
      <c r="H271" s="194">
        <v>10717.439774193548</v>
      </c>
      <c r="I271" s="194">
        <v>7185.560351612903</v>
      </c>
      <c r="J271" s="194">
        <v>637085.9118774193</v>
      </c>
      <c r="K271" s="194">
        <v>511111.62507096777</v>
      </c>
      <c r="L271" s="194">
        <v>91207.16970967742</v>
      </c>
      <c r="M271" s="194">
        <v>13644.514280645162</v>
      </c>
      <c r="N271" s="194">
        <f t="shared" si="20"/>
        <v>1297819.6733774194</v>
      </c>
      <c r="O271" s="218">
        <f>+O270</f>
        <v>1350904.1949</v>
      </c>
      <c r="P271" s="194">
        <f t="shared" si="21"/>
        <v>234593.70456707454</v>
      </c>
    </row>
    <row r="272" spans="1:16" s="5" customFormat="1" ht="12.75">
      <c r="A272" s="187"/>
      <c r="B272" s="183">
        <f t="shared" si="14"/>
        <v>2016.3333244000114</v>
      </c>
      <c r="C272" s="219">
        <v>42461</v>
      </c>
      <c r="D272" s="194">
        <v>7452.266666666666</v>
      </c>
      <c r="E272" s="194">
        <v>2188.4666666666667</v>
      </c>
      <c r="F272" s="194">
        <v>3042.6</v>
      </c>
      <c r="G272" s="194">
        <v>13807.9</v>
      </c>
      <c r="H272" s="194">
        <v>10368.2</v>
      </c>
      <c r="I272" s="194">
        <v>7293.9</v>
      </c>
      <c r="J272" s="194">
        <v>626729.8666666667</v>
      </c>
      <c r="K272" s="194">
        <v>511646</v>
      </c>
      <c r="L272" s="194">
        <v>115935.1</v>
      </c>
      <c r="M272" s="194">
        <v>15149.566666666668</v>
      </c>
      <c r="N272" s="194">
        <f t="shared" si="20"/>
        <v>1313613.866666667</v>
      </c>
      <c r="O272" s="218">
        <f>+O271</f>
        <v>1350904.1949</v>
      </c>
      <c r="P272" s="194">
        <f t="shared" si="21"/>
        <v>15794.193289247574</v>
      </c>
    </row>
    <row r="273" spans="1:16" ht="12.75">
      <c r="A273" s="187"/>
      <c r="B273" s="183">
        <f t="shared" si="14"/>
        <v>2016.4166577000115</v>
      </c>
      <c r="C273" s="219">
        <v>42491</v>
      </c>
      <c r="D273" s="194">
        <v>7816.741935483871</v>
      </c>
      <c r="E273" s="194">
        <v>2153.7096774193546</v>
      </c>
      <c r="F273" s="194">
        <v>3037.8709677419356</v>
      </c>
      <c r="G273" s="194">
        <v>15118.161290322581</v>
      </c>
      <c r="H273" s="194">
        <v>8919.935483870968</v>
      </c>
      <c r="I273" s="194">
        <v>6482.451612903225</v>
      </c>
      <c r="J273" s="194">
        <v>739284.6774193548</v>
      </c>
      <c r="K273" s="194">
        <v>471128.87096774194</v>
      </c>
      <c r="L273" s="194">
        <v>179549.4193548387</v>
      </c>
      <c r="M273" s="194">
        <v>13036.322580645161</v>
      </c>
      <c r="N273" s="194">
        <f t="shared" si="20"/>
        <v>1446528.1612903227</v>
      </c>
      <c r="O273" s="217">
        <f aca="true" t="shared" si="22" ref="O273:O279">+O272</f>
        <v>1350904.1949</v>
      </c>
      <c r="P273" s="194">
        <f t="shared" si="21"/>
        <v>132914.29462365573</v>
      </c>
    </row>
    <row r="274" spans="1:18" ht="12.75">
      <c r="A274" s="187"/>
      <c r="B274" s="183">
        <f t="shared" si="14"/>
        <v>2016.4999910000115</v>
      </c>
      <c r="C274" s="219">
        <v>42522</v>
      </c>
      <c r="D274" s="194">
        <v>7979.9</v>
      </c>
      <c r="E274" s="194">
        <v>2412.9</v>
      </c>
      <c r="F274" s="194">
        <v>3162.4333333333334</v>
      </c>
      <c r="G274" s="194">
        <v>15093.5</v>
      </c>
      <c r="H274" s="194">
        <v>10269.1</v>
      </c>
      <c r="I274" s="194">
        <v>8090.4</v>
      </c>
      <c r="J274" s="194">
        <v>781856.8666666667</v>
      </c>
      <c r="K274" s="194">
        <v>329147.0333333333</v>
      </c>
      <c r="L274" s="194">
        <v>143244.43333333332</v>
      </c>
      <c r="M274" s="194">
        <v>24832.4</v>
      </c>
      <c r="N274" s="194">
        <f t="shared" si="20"/>
        <v>1326088.9666666666</v>
      </c>
      <c r="O274" s="218">
        <f t="shared" si="22"/>
        <v>1350904.1949</v>
      </c>
      <c r="P274" s="194">
        <f>N274-N273</f>
        <v>-120439.1946236561</v>
      </c>
      <c r="R274" s="4"/>
    </row>
    <row r="275" spans="1:16" ht="12.75">
      <c r="A275" s="187"/>
      <c r="B275" s="183">
        <f t="shared" si="14"/>
        <v>2016.5833243000116</v>
      </c>
      <c r="C275" s="219">
        <v>42552</v>
      </c>
      <c r="D275" s="194">
        <v>7704.129032258064</v>
      </c>
      <c r="E275" s="194">
        <v>2297.935483870968</v>
      </c>
      <c r="F275" s="194">
        <v>3116.8709677419356</v>
      </c>
      <c r="G275" s="194">
        <v>16026.870967741936</v>
      </c>
      <c r="H275" s="194">
        <v>11230.870967741936</v>
      </c>
      <c r="I275" s="194">
        <v>8421.516129032258</v>
      </c>
      <c r="J275" s="194">
        <v>792049.4838709678</v>
      </c>
      <c r="K275" s="194">
        <v>480176.1935483871</v>
      </c>
      <c r="L275" s="194">
        <v>182516.51612903227</v>
      </c>
      <c r="M275" s="194">
        <v>8831.612903225807</v>
      </c>
      <c r="N275" s="194">
        <f t="shared" si="20"/>
        <v>1512372</v>
      </c>
      <c r="O275" s="218">
        <f t="shared" si="22"/>
        <v>1350904.1949</v>
      </c>
      <c r="P275" s="194">
        <f t="shared" si="21"/>
        <v>186283.03333333344</v>
      </c>
    </row>
    <row r="276" spans="1:16" ht="12.75">
      <c r="A276" s="187"/>
      <c r="B276" s="183">
        <f t="shared" si="14"/>
        <v>2016.6666576000116</v>
      </c>
      <c r="C276" s="219">
        <v>42583</v>
      </c>
      <c r="D276" s="194">
        <v>8428.806451612903</v>
      </c>
      <c r="E276" s="194">
        <v>2428.9559419354837</v>
      </c>
      <c r="F276" s="194">
        <v>3353.3225806451615</v>
      </c>
      <c r="G276" s="194">
        <v>15589.838709677419</v>
      </c>
      <c r="H276" s="194">
        <v>10503.894451612903</v>
      </c>
      <c r="I276" s="194">
        <v>7914.095167741935</v>
      </c>
      <c r="J276" s="194">
        <v>754020.0142225807</v>
      </c>
      <c r="K276" s="194">
        <v>478459.9160032258</v>
      </c>
      <c r="L276" s="194">
        <v>181140.33896451612</v>
      </c>
      <c r="M276" s="194">
        <v>6265.342096774194</v>
      </c>
      <c r="N276" s="194">
        <f t="shared" si="20"/>
        <v>1468104.5245903225</v>
      </c>
      <c r="O276" s="217">
        <f t="shared" si="22"/>
        <v>1350904.1949</v>
      </c>
      <c r="P276" s="194">
        <f t="shared" si="21"/>
        <v>-44267.475409677485</v>
      </c>
    </row>
    <row r="277" spans="1:16" ht="12.75">
      <c r="A277" s="187"/>
      <c r="B277" s="183">
        <f t="shared" si="14"/>
        <v>2016.7499909000117</v>
      </c>
      <c r="C277" s="219">
        <v>42614</v>
      </c>
      <c r="D277" s="194">
        <v>8989.566666666668</v>
      </c>
      <c r="E277" s="194">
        <v>2683.4080200000003</v>
      </c>
      <c r="F277" s="194">
        <v>3036.266666666667</v>
      </c>
      <c r="G277" s="194">
        <v>15015.933333333332</v>
      </c>
      <c r="H277" s="194">
        <v>9905.5259</v>
      </c>
      <c r="I277" s="194">
        <v>8128.594926666667</v>
      </c>
      <c r="J277" s="194">
        <v>678021.2419733333</v>
      </c>
      <c r="K277" s="194">
        <v>501939.91141</v>
      </c>
      <c r="L277" s="194">
        <v>158650.46112</v>
      </c>
      <c r="M277" s="194">
        <v>4629.142833333333</v>
      </c>
      <c r="N277" s="194">
        <f t="shared" si="20"/>
        <v>1391000.0528499999</v>
      </c>
      <c r="O277" s="218">
        <f t="shared" si="22"/>
        <v>1350904.1949</v>
      </c>
      <c r="P277" s="194">
        <f t="shared" si="21"/>
        <v>-77104.47174032265</v>
      </c>
    </row>
    <row r="278" spans="1:16" ht="12.75">
      <c r="A278" s="187"/>
      <c r="B278" s="183">
        <f t="shared" si="14"/>
        <v>2016.8333242000117</v>
      </c>
      <c r="C278" s="219">
        <v>42644</v>
      </c>
      <c r="D278" s="194">
        <v>8977.064516129032</v>
      </c>
      <c r="E278" s="194">
        <v>2737.9128322580646</v>
      </c>
      <c r="F278" s="194">
        <v>3318.8387096774195</v>
      </c>
      <c r="G278" s="194">
        <v>15664.58064516129</v>
      </c>
      <c r="H278" s="194">
        <v>10048.891483870968</v>
      </c>
      <c r="I278" s="194">
        <v>8450.081458064516</v>
      </c>
      <c r="J278" s="194">
        <v>701969.9090967742</v>
      </c>
      <c r="K278" s="194">
        <v>481197.2874645161</v>
      </c>
      <c r="L278" s="194">
        <v>157489.69903225807</v>
      </c>
      <c r="M278" s="194">
        <v>10242.167096774194</v>
      </c>
      <c r="N278" s="194">
        <f t="shared" si="20"/>
        <v>1400096.4323354836</v>
      </c>
      <c r="O278" s="218">
        <f t="shared" si="22"/>
        <v>1350904.1949</v>
      </c>
      <c r="P278" s="194">
        <f t="shared" si="21"/>
        <v>9096.379485483747</v>
      </c>
    </row>
    <row r="279" spans="1:16" ht="12.75">
      <c r="A279" s="187"/>
      <c r="B279" s="183">
        <f t="shared" si="14"/>
        <v>2016.9166575000118</v>
      </c>
      <c r="C279" s="219">
        <v>42675</v>
      </c>
      <c r="D279" s="194">
        <v>8435.133333333333</v>
      </c>
      <c r="E279" s="194">
        <v>2718.02998</v>
      </c>
      <c r="F279" s="194">
        <v>3281.866666666667</v>
      </c>
      <c r="G279" s="194">
        <v>15555.366666666667</v>
      </c>
      <c r="H279" s="194">
        <v>10897.418966666668</v>
      </c>
      <c r="I279" s="194">
        <v>7918.932036666666</v>
      </c>
      <c r="J279" s="194">
        <v>808606.64686</v>
      </c>
      <c r="K279" s="194">
        <v>509275.32376999996</v>
      </c>
      <c r="L279" s="194">
        <v>161531.01057333333</v>
      </c>
      <c r="M279" s="194">
        <v>6048.95717</v>
      </c>
      <c r="N279" s="194">
        <f>+SUM(D279:M279)</f>
        <v>1534268.6860233333</v>
      </c>
      <c r="O279" s="217">
        <f t="shared" si="22"/>
        <v>1350904.1949</v>
      </c>
      <c r="P279" s="194">
        <f aca="true" t="shared" si="23" ref="P279:P292">N279-N278</f>
        <v>134172.25368784973</v>
      </c>
    </row>
    <row r="280" spans="1:16" ht="12.75">
      <c r="A280" s="187"/>
      <c r="B280" s="183">
        <f t="shared" si="14"/>
        <v>2016.9999908000118</v>
      </c>
      <c r="C280" s="219">
        <v>42705</v>
      </c>
      <c r="D280" s="194">
        <v>8295.838709677419</v>
      </c>
      <c r="E280" s="194">
        <v>2468.898587096774</v>
      </c>
      <c r="F280" s="194">
        <v>3205.9032258064517</v>
      </c>
      <c r="G280" s="194">
        <v>15359.774193548386</v>
      </c>
      <c r="H280" s="194">
        <v>11283.790096774193</v>
      </c>
      <c r="I280" s="194">
        <v>7486.577448387097</v>
      </c>
      <c r="J280" s="194">
        <v>739194.3081870968</v>
      </c>
      <c r="K280" s="194">
        <v>507609.0147032258</v>
      </c>
      <c r="L280" s="194">
        <v>150716.28651935485</v>
      </c>
      <c r="M280" s="194">
        <v>81.38709677419355</v>
      </c>
      <c r="N280" s="194">
        <f>+SUM(D280:M280)</f>
        <v>1445701.7787677422</v>
      </c>
      <c r="O280" s="218">
        <f>+O279</f>
        <v>1350904.1949</v>
      </c>
      <c r="P280" s="194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2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3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3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3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3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3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3">
        <f t="shared" si="14"/>
        <v>2018.0833237000124</v>
      </c>
      <c r="C293" s="132">
        <v>43101</v>
      </c>
      <c r="D293"/>
      <c r="E293" s="20"/>
      <c r="F293" s="20"/>
      <c r="N293" s="244">
        <v>1139326.3817</v>
      </c>
      <c r="O293" s="244">
        <v>1197245.8237</v>
      </c>
      <c r="P293" s="245">
        <f aca="true" t="shared" si="25" ref="P293:P303">N293-N292</f>
        <v>-181603.56410000008</v>
      </c>
    </row>
    <row r="294" spans="2:16" ht="12.75">
      <c r="B294" s="243">
        <f t="shared" si="14"/>
        <v>2018.1666570000125</v>
      </c>
      <c r="C294" s="132">
        <v>43132</v>
      </c>
      <c r="D294"/>
      <c r="E294" s="20"/>
      <c r="F294" s="20"/>
      <c r="N294" s="244">
        <v>849299.3487</v>
      </c>
      <c r="O294" s="244">
        <f aca="true" t="shared" si="26" ref="O294:O304">+O293</f>
        <v>1197245.8237</v>
      </c>
      <c r="P294" s="245">
        <f t="shared" si="25"/>
        <v>-290027.03300000005</v>
      </c>
    </row>
    <row r="295" spans="2:16" ht="12.75">
      <c r="B295" s="243">
        <f t="shared" si="14"/>
        <v>2018.2499903000125</v>
      </c>
      <c r="C295" s="132">
        <v>43160</v>
      </c>
      <c r="D295"/>
      <c r="E295" s="20"/>
      <c r="F295" s="20"/>
      <c r="N295" s="244">
        <v>1163361.3285</v>
      </c>
      <c r="O295" s="244">
        <f t="shared" si="26"/>
        <v>1197245.8237</v>
      </c>
      <c r="P295" s="245">
        <f t="shared" si="25"/>
        <v>314061.9798000001</v>
      </c>
    </row>
    <row r="296" spans="2:16" ht="12.75">
      <c r="B296" s="243">
        <f t="shared" si="14"/>
        <v>2018.3333236000126</v>
      </c>
      <c r="C296" s="132">
        <v>43191</v>
      </c>
      <c r="D296"/>
      <c r="E296" s="20"/>
      <c r="F296" s="20"/>
      <c r="N296" s="244">
        <v>1218079</v>
      </c>
      <c r="O296" s="244">
        <f t="shared" si="26"/>
        <v>1197245.8237</v>
      </c>
      <c r="P296" s="245">
        <f t="shared" si="25"/>
        <v>54717.67149999994</v>
      </c>
    </row>
    <row r="297" spans="2:16" ht="12.75">
      <c r="B297" s="243">
        <f t="shared" si="14"/>
        <v>2018.4166569000126</v>
      </c>
      <c r="C297" s="132">
        <v>43221</v>
      </c>
      <c r="D297"/>
      <c r="E297" s="20"/>
      <c r="F297" s="20"/>
      <c r="N297" s="244">
        <v>1295738.0528</v>
      </c>
      <c r="O297" s="244">
        <f t="shared" si="26"/>
        <v>1197245.8237</v>
      </c>
      <c r="P297" s="245">
        <f t="shared" si="25"/>
        <v>77659.05279999995</v>
      </c>
    </row>
    <row r="298" spans="2:16" ht="12.75">
      <c r="B298" s="243">
        <f t="shared" si="14"/>
        <v>2018.4999902000127</v>
      </c>
      <c r="C298" s="132">
        <v>43252</v>
      </c>
      <c r="D298"/>
      <c r="E298" s="20"/>
      <c r="F298" s="20"/>
      <c r="N298" s="244">
        <v>1403484.5903</v>
      </c>
      <c r="O298" s="244">
        <f t="shared" si="26"/>
        <v>1197245.8237</v>
      </c>
      <c r="P298" s="245">
        <f t="shared" si="25"/>
        <v>107746.5375000001</v>
      </c>
    </row>
    <row r="299" spans="2:16" ht="12.75">
      <c r="B299" s="243">
        <f t="shared" si="14"/>
        <v>2018.5833235000127</v>
      </c>
      <c r="C299" s="132">
        <v>43282</v>
      </c>
      <c r="D299"/>
      <c r="E299" s="20"/>
      <c r="F299" s="20"/>
      <c r="N299" s="244">
        <v>1300729.2075</v>
      </c>
      <c r="O299" s="244">
        <f t="shared" si="26"/>
        <v>1197245.8237</v>
      </c>
      <c r="P299" s="245">
        <f t="shared" si="25"/>
        <v>-102755.38280000002</v>
      </c>
    </row>
    <row r="300" spans="2:16" ht="12.75">
      <c r="B300" s="243">
        <f t="shared" si="14"/>
        <v>2018.6666568000128</v>
      </c>
      <c r="C300" s="132">
        <v>43313</v>
      </c>
      <c r="D300"/>
      <c r="E300" s="20"/>
      <c r="F300" s="20"/>
      <c r="N300" s="244">
        <v>953869.4736</v>
      </c>
      <c r="O300" s="244">
        <f t="shared" si="26"/>
        <v>1197245.8237</v>
      </c>
      <c r="P300" s="245">
        <f t="shared" si="25"/>
        <v>-346859.7339</v>
      </c>
    </row>
    <row r="301" spans="2:16" ht="12.75">
      <c r="B301" s="243">
        <f t="shared" si="14"/>
        <v>2018.7499901000128</v>
      </c>
      <c r="C301" s="132">
        <v>43344</v>
      </c>
      <c r="D301"/>
      <c r="E301" s="20"/>
      <c r="F301" s="20"/>
      <c r="N301" s="244">
        <v>1432568.3633</v>
      </c>
      <c r="O301" s="244">
        <f t="shared" si="26"/>
        <v>1197245.8237</v>
      </c>
      <c r="P301" s="245">
        <f t="shared" si="25"/>
        <v>478698.88970000006</v>
      </c>
    </row>
    <row r="302" spans="2:16" ht="12.75">
      <c r="B302" s="243">
        <f t="shared" si="14"/>
        <v>2018.833323400013</v>
      </c>
      <c r="C302" s="132">
        <v>43374</v>
      </c>
      <c r="D302"/>
      <c r="E302" s="20"/>
      <c r="F302" s="20"/>
      <c r="N302" s="244">
        <v>1205642.645</v>
      </c>
      <c r="O302" s="244">
        <f t="shared" si="26"/>
        <v>1197245.8237</v>
      </c>
      <c r="P302" s="245">
        <f t="shared" si="25"/>
        <v>-226925.71830000007</v>
      </c>
    </row>
    <row r="303" spans="2:16" ht="12.75">
      <c r="B303" s="243">
        <f t="shared" si="14"/>
        <v>2018.916656700013</v>
      </c>
      <c r="C303" s="132">
        <v>43405</v>
      </c>
      <c r="D303"/>
      <c r="E303" s="20"/>
      <c r="F303" s="20"/>
      <c r="N303" s="266">
        <v>1374884.0149</v>
      </c>
      <c r="O303" s="244">
        <f t="shared" si="26"/>
        <v>1197245.8237</v>
      </c>
      <c r="P303" s="245">
        <f t="shared" si="25"/>
        <v>169241.36990000005</v>
      </c>
    </row>
    <row r="304" spans="2:16" ht="12.75">
      <c r="B304" s="243">
        <f t="shared" si="14"/>
        <v>2018.999990000013</v>
      </c>
      <c r="C304" s="132">
        <v>43435</v>
      </c>
      <c r="D304"/>
      <c r="E304" s="20"/>
      <c r="F304" s="20"/>
      <c r="N304" s="244">
        <v>1412080.9692</v>
      </c>
      <c r="O304" s="244">
        <f t="shared" si="26"/>
        <v>1197245.8237</v>
      </c>
      <c r="P304" s="245">
        <f>N304-N303</f>
        <v>37196.95429999987</v>
      </c>
    </row>
    <row r="305" spans="2:16" ht="12.75">
      <c r="B305" s="274">
        <f t="shared" si="14"/>
        <v>2019.083323300013</v>
      </c>
      <c r="C305" s="275">
        <v>43466</v>
      </c>
      <c r="D305" s="277"/>
      <c r="E305" s="277"/>
      <c r="F305" s="277"/>
      <c r="G305" s="277"/>
      <c r="H305" s="277"/>
      <c r="I305" s="277"/>
      <c r="J305" s="277"/>
      <c r="K305" s="277"/>
      <c r="L305" s="277"/>
      <c r="M305" s="277"/>
      <c r="N305" s="272">
        <v>1315946.6183</v>
      </c>
      <c r="O305" s="272">
        <v>1205929.7479</v>
      </c>
      <c r="P305" s="276">
        <f>N305-N304</f>
        <v>-96134.35089999996</v>
      </c>
    </row>
    <row r="306" spans="2:16" ht="12.75">
      <c r="B306" s="274">
        <f t="shared" si="14"/>
        <v>2019.166656600013</v>
      </c>
      <c r="C306" s="275">
        <v>43497</v>
      </c>
      <c r="D306" s="277"/>
      <c r="E306" s="277"/>
      <c r="F306" s="277"/>
      <c r="G306" s="277"/>
      <c r="H306" s="277"/>
      <c r="I306" s="277"/>
      <c r="J306" s="277"/>
      <c r="K306" s="277"/>
      <c r="L306" s="277"/>
      <c r="M306" s="277"/>
      <c r="N306" s="272">
        <v>1264159.3536</v>
      </c>
      <c r="O306" s="272">
        <v>1205929.7479</v>
      </c>
      <c r="P306" s="276">
        <f>N306-N305</f>
        <v>-51787.26469999994</v>
      </c>
    </row>
    <row r="307" spans="2:16" ht="12.75">
      <c r="B307" s="274">
        <f t="shared" si="14"/>
        <v>2019.2499899000131</v>
      </c>
      <c r="C307" s="275">
        <v>43525</v>
      </c>
      <c r="D307" s="277"/>
      <c r="E307" s="277"/>
      <c r="F307" s="277"/>
      <c r="G307" s="277"/>
      <c r="H307" s="277"/>
      <c r="I307" s="277"/>
      <c r="J307" s="277"/>
      <c r="K307" s="277"/>
      <c r="L307" s="277"/>
      <c r="M307" s="277"/>
      <c r="N307" s="272">
        <v>1194725.7082</v>
      </c>
      <c r="O307" s="272">
        <v>1205929.7479</v>
      </c>
      <c r="P307" s="276">
        <f>N307-N306</f>
        <v>-69433.64540000004</v>
      </c>
    </row>
    <row r="308" spans="2:16" ht="12.75">
      <c r="B308" s="274">
        <f t="shared" si="14"/>
        <v>2019.3333232000132</v>
      </c>
      <c r="C308" s="275">
        <v>43556</v>
      </c>
      <c r="D308" s="277"/>
      <c r="E308" s="277"/>
      <c r="F308" s="277"/>
      <c r="G308" s="277"/>
      <c r="H308" s="277"/>
      <c r="I308" s="277"/>
      <c r="J308" s="277"/>
      <c r="K308" s="277"/>
      <c r="L308" s="277"/>
      <c r="M308" s="277"/>
      <c r="N308" s="272">
        <v>1119085.7704</v>
      </c>
      <c r="O308" s="272">
        <v>1205929.7479</v>
      </c>
      <c r="P308" s="276">
        <f>N308-N307</f>
        <v>-75639.93779999996</v>
      </c>
    </row>
    <row r="309" spans="2:16" ht="12.75">
      <c r="B309" s="274">
        <f>+B308+0.0833333</f>
        <v>2019.4166565000132</v>
      </c>
      <c r="C309" s="275">
        <v>43586</v>
      </c>
      <c r="D309"/>
      <c r="E309" s="20"/>
      <c r="F309" s="20"/>
      <c r="N309" s="272">
        <v>1085771.1066</v>
      </c>
      <c r="O309" s="272">
        <v>1205929.7479</v>
      </c>
      <c r="P309" s="276">
        <f>N309-N308</f>
        <v>-33314.66379999998</v>
      </c>
    </row>
    <row r="310" spans="2:16" ht="12.75">
      <c r="B310" s="274">
        <f>+B309+0.0833333</f>
        <v>2019.4999898000133</v>
      </c>
      <c r="C310" s="275">
        <v>43617</v>
      </c>
      <c r="D310"/>
      <c r="E310" s="20"/>
      <c r="F310" s="20"/>
      <c r="N310" s="272">
        <v>1121341.1848</v>
      </c>
      <c r="O310" s="272">
        <v>1205929.7479</v>
      </c>
      <c r="P310" s="276">
        <f>N310-N309</f>
        <v>35570.07819999987</v>
      </c>
    </row>
    <row r="311" spans="2:16" ht="12.75">
      <c r="B311" s="274">
        <f>+B310+0.0833333</f>
        <v>2019.5833231000133</v>
      </c>
      <c r="C311" s="275">
        <v>43647</v>
      </c>
      <c r="D311"/>
      <c r="E311" s="20"/>
      <c r="F311" s="20"/>
      <c r="N311" s="272">
        <v>1340583.234</v>
      </c>
      <c r="O311" s="272">
        <v>1205929.7479</v>
      </c>
      <c r="P311" s="276">
        <f>N311-N310</f>
        <v>219242.0492</v>
      </c>
    </row>
    <row r="312" spans="2:6" ht="12.75">
      <c r="B312"/>
      <c r="D312"/>
      <c r="E312" s="20"/>
      <c r="F312" s="20"/>
    </row>
    <row r="313" spans="2:6" ht="12.75">
      <c r="B313"/>
      <c r="D313"/>
      <c r="E313" s="20"/>
      <c r="F313" s="20"/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0"/>
  <sheetViews>
    <sheetView tabSelected="1" zoomScale="98" zoomScaleNormal="98" zoomScalePageLayoutView="0" workbookViewId="0" topLeftCell="A1">
      <selection activeCell="O20" sqref="O20"/>
    </sheetView>
  </sheetViews>
  <sheetFormatPr defaultColWidth="11.421875" defaultRowHeight="12.75"/>
  <cols>
    <col min="1" max="1" width="5.57421875" style="230" customWidth="1"/>
    <col min="2" max="2" width="7.00390625" style="230" customWidth="1"/>
    <col min="3" max="3" width="9.00390625" style="230" customWidth="1"/>
    <col min="4" max="4" width="11.421875" style="230" customWidth="1"/>
    <col min="5" max="5" width="9.57421875" style="230" customWidth="1"/>
    <col min="6" max="6" width="9.8515625" style="230" bestFit="1" customWidth="1"/>
    <col min="7" max="7" width="8.140625" style="230" customWidth="1"/>
    <col min="8" max="8" width="11.421875" style="230" customWidth="1"/>
    <col min="9" max="9" width="7.28125" style="230" bestFit="1" customWidth="1"/>
    <col min="10" max="10" width="12.28125" style="230" bestFit="1" customWidth="1"/>
    <col min="11" max="11" width="8.8515625" style="230" customWidth="1"/>
    <col min="12" max="12" width="10.140625" style="230" customWidth="1"/>
    <col min="13" max="13" width="3.7109375" style="230" customWidth="1"/>
    <col min="14" max="14" width="12.421875" style="230" bestFit="1" customWidth="1"/>
    <col min="15" max="15" width="11.421875" style="230" customWidth="1"/>
    <col min="16" max="16" width="13.57421875" style="230" customWidth="1"/>
    <col min="17" max="16384" width="11.421875" style="230" customWidth="1"/>
  </cols>
  <sheetData>
    <row r="2" spans="2:14" ht="20.25" customHeight="1">
      <c r="B2" s="295" t="s">
        <v>67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31"/>
      <c r="N2" s="231"/>
    </row>
    <row r="3" spans="1:13" ht="15.75" customHeight="1">
      <c r="A3" s="232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32"/>
    </row>
    <row r="4" ht="12.75">
      <c r="N4" s="230" t="s">
        <v>49</v>
      </c>
    </row>
    <row r="5" spans="14:15" ht="12.75">
      <c r="N5" s="233"/>
      <c r="O5" s="233"/>
    </row>
    <row r="17" ht="12.75">
      <c r="N17" s="230" t="s">
        <v>57</v>
      </c>
    </row>
    <row r="31" ht="18" customHeight="1"/>
    <row r="32" ht="15.75">
      <c r="C32" s="234" t="s">
        <v>48</v>
      </c>
    </row>
    <row r="33" ht="16.5" customHeight="1">
      <c r="C33" s="234" t="s">
        <v>66</v>
      </c>
    </row>
    <row r="34" spans="3:13" ht="92.25" customHeight="1">
      <c r="C34" s="300" t="s">
        <v>68</v>
      </c>
      <c r="D34" s="300"/>
      <c r="E34" s="300"/>
      <c r="F34" s="300"/>
      <c r="G34" s="300"/>
      <c r="H34" s="300"/>
      <c r="I34" s="300"/>
      <c r="J34" s="300"/>
      <c r="K34" s="300"/>
      <c r="L34" s="300"/>
      <c r="M34" s="267"/>
    </row>
    <row r="35" spans="2:13" ht="3.75" customHeight="1"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</row>
    <row r="36" spans="2:13" ht="3.75" customHeight="1"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</row>
    <row r="37" spans="2:13" ht="3.75" customHeight="1" hidden="1">
      <c r="B37" s="236"/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</row>
    <row r="38" spans="2:13" ht="3.75" customHeight="1" hidden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</row>
    <row r="39" spans="2:13" ht="3.75" customHeight="1" hidden="1"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</row>
    <row r="40" spans="2:13" ht="3.75" customHeight="1" hidden="1"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2:13" ht="3.75" customHeight="1" hidden="1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</row>
    <row r="42" spans="2:13" ht="3.75" customHeight="1" hidden="1">
      <c r="B42" s="236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6"/>
    </row>
    <row r="43" spans="2:13" ht="3.75" customHeight="1" hidden="1">
      <c r="B43" s="236"/>
      <c r="C43" s="236"/>
      <c r="D43" s="236"/>
      <c r="E43" s="236"/>
      <c r="F43" s="236"/>
      <c r="G43" s="236"/>
      <c r="H43" s="236"/>
      <c r="I43" s="236"/>
      <c r="J43" s="236"/>
      <c r="K43" s="236"/>
      <c r="L43" s="236"/>
      <c r="M43" s="236"/>
    </row>
    <row r="44" spans="2:13" ht="3.75" customHeight="1" hidden="1">
      <c r="B44" s="236"/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</row>
    <row r="45" spans="2:13" ht="3.75" customHeight="1" hidden="1">
      <c r="B45" s="236"/>
      <c r="C45" s="236"/>
      <c r="D45" s="236"/>
      <c r="E45" s="236"/>
      <c r="F45" s="236"/>
      <c r="G45" s="236"/>
      <c r="H45" s="236"/>
      <c r="I45" s="236"/>
      <c r="J45" s="236"/>
      <c r="K45" s="236"/>
      <c r="L45" s="236"/>
      <c r="M45" s="236"/>
    </row>
    <row r="46" spans="2:13" ht="3.75" customHeight="1" hidden="1">
      <c r="B46" s="236"/>
      <c r="C46" s="236"/>
      <c r="D46" s="236"/>
      <c r="E46" s="236"/>
      <c r="F46" s="236"/>
      <c r="G46" s="236"/>
      <c r="H46" s="236"/>
      <c r="I46" s="236"/>
      <c r="J46" s="236"/>
      <c r="K46" s="236"/>
      <c r="L46" s="236"/>
      <c r="M46" s="236"/>
    </row>
    <row r="47" spans="2:13" ht="3.75" customHeight="1" hidden="1">
      <c r="B47" s="236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2:13" ht="3.75" customHeight="1" hidden="1"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2:13" ht="3.75" customHeight="1" hidden="1"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</row>
    <row r="50" spans="2:13" ht="9.75" customHeight="1" hidden="1"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</row>
    <row r="51" spans="1:13" ht="9.75" customHeight="1">
      <c r="A51" s="237"/>
      <c r="B51" s="237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</row>
    <row r="53" ht="12.75">
      <c r="N53" s="238"/>
    </row>
    <row r="67" ht="12.75">
      <c r="N67" s="233"/>
    </row>
    <row r="78" ht="15.75">
      <c r="C78" s="234" t="s">
        <v>61</v>
      </c>
    </row>
    <row r="79" spans="3:13" ht="48.75" customHeight="1">
      <c r="C79" s="296" t="s">
        <v>69</v>
      </c>
      <c r="D79" s="296"/>
      <c r="E79" s="296"/>
      <c r="F79" s="296"/>
      <c r="G79" s="296"/>
      <c r="H79" s="296"/>
      <c r="I79" s="296"/>
      <c r="J79" s="296"/>
      <c r="K79" s="296"/>
      <c r="L79" s="296"/>
      <c r="M79" s="296"/>
    </row>
    <row r="80" ht="9" customHeight="1"/>
    <row r="81" spans="13:15" ht="44.25" customHeight="1">
      <c r="M81" s="239"/>
      <c r="O81" s="240"/>
    </row>
    <row r="82" spans="2:15" ht="46.5" customHeight="1">
      <c r="B82" s="298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39"/>
      <c r="O82" s="240"/>
    </row>
    <row r="83" spans="1:13" ht="4.5" customHeight="1">
      <c r="A83" s="235"/>
      <c r="B83" s="297" t="s">
        <v>57</v>
      </c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39"/>
    </row>
    <row r="84" spans="2:13" ht="15" customHeight="1">
      <c r="B84" s="239"/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</row>
    <row r="87" spans="14:15" ht="12.75">
      <c r="N87" s="240"/>
      <c r="O87" s="241"/>
    </row>
    <row r="110" ht="12.75">
      <c r="B110" s="230" t="s">
        <v>37</v>
      </c>
    </row>
  </sheetData>
  <sheetProtection/>
  <mergeCells count="5">
    <mergeCell ref="B2:L3"/>
    <mergeCell ref="C79:M79"/>
    <mergeCell ref="B83:L83"/>
    <mergeCell ref="B82:L82"/>
    <mergeCell ref="C34:L34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68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Cipra Dextre Santos</cp:lastModifiedBy>
  <cp:lastPrinted>2019-08-22T15:53:54Z</cp:lastPrinted>
  <dcterms:created xsi:type="dcterms:W3CDTF">1997-07-01T22:48:52Z</dcterms:created>
  <dcterms:modified xsi:type="dcterms:W3CDTF">2019-08-22T15:54:17Z</dcterms:modified>
  <cp:category/>
  <cp:version/>
  <cp:contentType/>
  <cp:contentStatus/>
</cp:coreProperties>
</file>